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eviden-my.sharepoint.com/personal/maria_de-pedro_eviden_com/Documents/Documents/Testing/MADRID DIGITAL/PETICIONES/HOSPITAL/SANTA CRISTINA/XXXX/"/>
    </mc:Choice>
  </mc:AlternateContent>
  <xr:revisionPtr revIDLastSave="294" documentId="8_{7057603F-094D-496E-939B-478F62CF957E}" xr6:coauthVersionLast="47" xr6:coauthVersionMax="47" xr10:uidLastSave="{FC01E378-1588-475E-AA99-391732DBB001}"/>
  <bookViews>
    <workbookView xWindow="-108" yWindow="-108" windowWidth="23256" windowHeight="12456" tabRatio="808" firstSheet="1"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238" i="5" l="1"/>
  <c r="D139" i="21"/>
  <c r="CG20" i="9"/>
  <c r="DC3" i="19" s="1"/>
  <c r="D1165" i="21"/>
  <c r="D157" i="14"/>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I35" i="9" a="1"/>
  <c r="BP28" i="9" a="1"/>
  <c r="W22" i="9" a="1"/>
  <c r="AM27" i="9" a="1"/>
  <c r="H39" i="9" a="1"/>
  <c r="AY36" i="9" a="1"/>
  <c r="W23" i="9" a="1"/>
  <c r="BK35" i="9" a="1"/>
  <c r="I28" i="9" a="1"/>
  <c r="BJ23" i="9" a="1"/>
  <c r="BO35" i="9" a="1"/>
  <c r="AE32" i="9" a="1"/>
  <c r="BD26" i="9" a="1"/>
  <c r="BB38" i="9" a="1"/>
  <c r="CH38" i="9" a="1"/>
  <c r="AV37" i="9" a="1"/>
  <c r="BN36" i="9" a="1"/>
  <c r="BF27" i="9" a="1"/>
  <c r="BL35" i="9" a="1"/>
  <c r="AS32" i="9" a="1"/>
  <c r="N22" i="9" a="1"/>
  <c r="P31" i="9" a="1"/>
  <c r="CL24" i="9" a="1"/>
  <c r="CQ22" i="9" a="1"/>
  <c r="T27" i="9" a="1"/>
  <c r="Q30" i="9" a="1"/>
  <c r="AJ36" i="9" a="1"/>
  <c r="L37" i="9" a="1"/>
  <c r="BZ24" i="9" a="1"/>
  <c r="BY25" i="9" a="1"/>
  <c r="BD37" i="9" a="1"/>
  <c r="CP37" i="9" a="1"/>
  <c r="BA24" i="9" a="1"/>
  <c r="BU37" i="9" a="1"/>
  <c r="CR27" i="9" a="1"/>
  <c r="CP29" i="9" a="1"/>
  <c r="AU36" i="9" a="1"/>
  <c r="BX21" i="9" a="1"/>
  <c r="BL39" i="9" a="1"/>
  <c r="CR30" i="9" a="1"/>
  <c r="AU26" i="9" a="1"/>
  <c r="J33" i="9" a="1"/>
  <c r="CD31" i="9" a="1"/>
  <c r="BO24" i="9" a="1"/>
  <c r="AH36" i="9" a="1"/>
  <c r="BN35" i="9" a="1"/>
  <c r="AL38" i="9" a="1"/>
  <c r="CH24" i="9" a="1"/>
  <c r="E22" i="9" a="1"/>
  <c r="AF27" i="9" a="1"/>
  <c r="CN24" i="9" a="1"/>
  <c r="CR36" i="9" a="1"/>
  <c r="BA27" i="9" a="1"/>
  <c r="AP39" i="9" a="1"/>
  <c r="BU32" i="9" a="1"/>
  <c r="BP23" i="9" a="1"/>
  <c r="CL39" i="9" a="1"/>
  <c r="BM32" i="9" a="1"/>
  <c r="CG30" i="9" a="1"/>
  <c r="AR31" i="9" a="1"/>
  <c r="CN28" i="9" a="1"/>
  <c r="AC37" i="9" a="1"/>
  <c r="AW39" i="9" a="1"/>
  <c r="CF32" i="9" a="1"/>
  <c r="CL23" i="9" a="1"/>
  <c r="P35" i="9" a="1"/>
  <c r="BY28" i="9" a="1"/>
  <c r="CP26" i="9" a="1"/>
  <c r="BT38" i="9" a="1"/>
  <c r="BT35" i="9" a="1"/>
  <c r="AJ35" i="9" a="1"/>
  <c r="BL22" i="9" a="1"/>
  <c r="AP26" i="9" a="1"/>
  <c r="J32" i="9" a="1"/>
  <c r="U24" i="9" a="1"/>
  <c r="BV35" i="9" a="1"/>
  <c r="F37" i="9" a="1"/>
  <c r="AT32" i="9" a="1"/>
  <c r="AP21" i="9" a="1"/>
  <c r="L35" i="9" a="1"/>
  <c r="CD34" i="9" a="1"/>
  <c r="BV23" i="9" a="1"/>
  <c r="AR26" i="9" a="1"/>
  <c r="BF28" i="9" a="1"/>
  <c r="AG29" i="9" a="1"/>
  <c r="AS27" i="9" a="1"/>
  <c r="AU21" i="9" a="1"/>
  <c r="AT36" i="9" a="1"/>
  <c r="BS34" i="9" a="1"/>
  <c r="BP39" i="9" a="1"/>
  <c r="BE37" i="9" a="1"/>
  <c r="I20" i="9" a="1"/>
  <c r="AR28" i="9" a="1"/>
  <c r="P38" i="9" a="1"/>
  <c r="H38" i="9" a="1"/>
  <c r="Y39" i="9" a="1"/>
  <c r="BU39" i="9" a="1"/>
  <c r="CG24" i="9" a="1"/>
  <c r="P26" i="9" a="1"/>
  <c r="AS28" i="9" a="1"/>
  <c r="L24" i="9" a="1"/>
  <c r="CL31" i="9" a="1"/>
  <c r="AP31" i="9" a="1"/>
  <c r="AD23" i="9" a="1"/>
  <c r="Z36" i="9" a="1"/>
  <c r="S29" i="9" a="1"/>
  <c r="CO39" i="9" a="1"/>
  <c r="CH36" i="9" a="1"/>
  <c r="G37" i="9" a="1"/>
  <c r="BZ30" i="9" a="1"/>
  <c r="CI29" i="9" a="1"/>
  <c r="CA31" i="9" a="1"/>
  <c r="CK32" i="9" a="1"/>
  <c r="CH39" i="9" a="1"/>
  <c r="CF38" i="9" a="1"/>
  <c r="BW20" i="9" a="1"/>
  <c r="I21" i="9" a="1"/>
  <c r="AQ27" i="9" a="1"/>
  <c r="N38" i="9" a="1"/>
  <c r="CQ24" i="9" a="1"/>
  <c r="CC33" i="9" a="1"/>
  <c r="CM21" i="9" a="1"/>
  <c r="R29" i="9" a="1"/>
  <c r="CB33" i="9" a="1"/>
  <c r="AH25" i="9" a="1"/>
  <c r="CD26" i="9" a="1"/>
  <c r="CP20" i="9" a="1"/>
  <c r="CB23" i="9" a="1"/>
  <c r="AJ27" i="9" a="1"/>
  <c r="CI32" i="9" a="1"/>
  <c r="CM36" i="9" a="1"/>
  <c r="I31" i="9" a="1"/>
  <c r="AY24" i="9" a="1"/>
  <c r="AO36" i="9" a="1"/>
  <c r="AH23" i="9" a="1"/>
  <c r="Q39" i="9" a="1"/>
  <c r="BM28" i="9" a="1"/>
  <c r="CK27" i="9" a="1"/>
  <c r="Z26" i="9" a="1"/>
  <c r="BA32" i="9" a="1"/>
  <c r="AF33" i="9" a="1"/>
  <c r="BN26" i="9" a="1"/>
  <c r="K666" i="14"/>
  <c r="BM23" i="9" a="1"/>
  <c r="BH38" i="9" a="1"/>
  <c r="CP28" i="9" a="1"/>
  <c r="CJ26" i="9" a="1"/>
  <c r="U31" i="9" a="1"/>
  <c r="T33" i="9" a="1"/>
  <c r="CF36" i="9" a="1"/>
  <c r="CL21" i="9" a="1"/>
  <c r="AM39" i="9" a="1"/>
  <c r="BP34" i="9" a="1"/>
  <c r="BH34" i="9" a="1"/>
  <c r="BR27" i="9" a="1"/>
  <c r="T31" i="9" a="1"/>
  <c r="AT23" i="9" a="1"/>
  <c r="AN22" i="9" a="1"/>
  <c r="CC23" i="9" a="1"/>
  <c r="CO35" i="9" a="1"/>
  <c r="AF28" i="9" a="1"/>
  <c r="AQ22" i="9" a="1"/>
  <c r="AK31" i="9" a="1"/>
  <c r="Y24" i="9" a="1"/>
  <c r="CO36" i="9" a="1"/>
  <c r="BR31" i="9" a="1"/>
  <c r="CJ24" i="9" a="1"/>
  <c r="BB36" i="9" a="1"/>
  <c r="BN31" i="9" a="1"/>
  <c r="AT24" i="9" a="1"/>
  <c r="AX36" i="9" a="1"/>
  <c r="AG23" i="9" a="1"/>
  <c r="N28" i="9" a="1"/>
  <c r="BB20" i="9" a="1"/>
  <c r="CH22" i="9" a="1"/>
  <c r="AE27" i="9" a="1"/>
  <c r="CE39" i="9" a="1"/>
  <c r="O36" i="9" a="1"/>
  <c r="X23" i="9" a="1"/>
  <c r="BV39" i="9" a="1"/>
  <c r="BF32" i="9" a="1"/>
  <c r="CH30" i="9" a="1"/>
  <c r="BL21" i="9" a="1"/>
  <c r="AD24" i="9" a="1"/>
  <c r="AI24" i="9" a="1"/>
  <c r="BP31" i="9" a="1"/>
  <c r="AW23" i="9" a="1"/>
  <c r="X22" i="9" a="1"/>
  <c r="AR22" i="9" a="1"/>
  <c r="BK27" i="9" a="1"/>
  <c r="L22" i="9" a="1"/>
  <c r="BK36" i="9" a="1"/>
  <c r="BD29" i="9" a="1"/>
  <c r="J39" i="9" a="1"/>
  <c r="AE38" i="9" a="1"/>
  <c r="CN23" i="9" a="1"/>
  <c r="M30" i="9" a="1"/>
  <c r="BW32" i="9" a="1"/>
  <c r="BV33" i="9" a="1"/>
  <c r="BO31" i="9" a="1"/>
  <c r="BQ25" i="9" a="1"/>
  <c r="BA22" i="9" a="1"/>
  <c r="AR39" i="9" a="1"/>
  <c r="Z21" i="9" a="1"/>
  <c r="CI26" i="9" a="1"/>
  <c r="CB34" i="9" a="1"/>
  <c r="AR24" i="9" a="1"/>
  <c r="BF37" i="9" a="1"/>
  <c r="AO27" i="9" a="1"/>
  <c r="AN29" i="9" a="1"/>
  <c r="BT32" i="9" a="1"/>
  <c r="O38" i="9" a="1"/>
  <c r="AC39" i="9" a="1"/>
  <c r="AA30" i="9" a="1"/>
  <c r="CB30" i="9" a="1"/>
  <c r="CE37" i="9" a="1"/>
  <c r="BH39" i="9" a="1"/>
  <c r="BL24" i="9" a="1"/>
  <c r="AO22" i="9" a="1"/>
  <c r="H23" i="9" a="1"/>
  <c r="BF39" i="9" a="1"/>
  <c r="CD32" i="9" a="1"/>
  <c r="AX23" i="9" a="1"/>
  <c r="BB35" i="9" a="1"/>
  <c r="AH28" i="9" a="1"/>
  <c r="AB22" i="9" a="1"/>
  <c r="CE31" i="9" a="1"/>
  <c r="AD28" i="9" a="1"/>
  <c r="AE22" i="9" a="1"/>
  <c r="BW31" i="9" a="1"/>
  <c r="BK28" i="9" a="1"/>
  <c r="M35" i="9" a="1"/>
  <c r="AS37" i="9" a="1"/>
  <c r="AK35" i="9" a="1"/>
  <c r="AC28" i="9" a="1"/>
  <c r="O22" i="9" a="1"/>
  <c r="BS31" i="9" a="1"/>
  <c r="AJ24" i="9" a="1"/>
  <c r="H36" i="9" a="1"/>
  <c r="BD27" i="9" a="1"/>
  <c r="BS24" i="9" a="1"/>
  <c r="BW36" i="9" a="1"/>
  <c r="O30" i="9" a="1"/>
  <c r="G25" i="9" a="1"/>
  <c r="I22" i="9" a="1"/>
  <c r="CP24" i="9" a="1"/>
  <c r="N39" i="9" a="1"/>
  <c r="BR32" i="9" a="1"/>
  <c r="AD37" i="9" a="1"/>
  <c r="BI28" i="9" a="1"/>
  <c r="CA24" i="9" a="1"/>
  <c r="E31" i="9" a="1"/>
  <c r="J27" i="9" a="1"/>
  <c r="AG36" i="9" a="1"/>
  <c r="AW29" i="9" a="1"/>
  <c r="BC24" i="9" a="1"/>
  <c r="BC21" i="9" a="1"/>
  <c r="Q27" i="9" a="1"/>
  <c r="BG30" i="9" a="1"/>
  <c r="R36" i="9" a="1"/>
  <c r="CL37" i="9" a="1"/>
  <c r="E35" i="9" a="1"/>
  <c r="G29" i="9" a="1"/>
  <c r="BQ29" i="9" a="1"/>
  <c r="BO39" i="9" a="1"/>
  <c r="CA26" i="9" a="1"/>
  <c r="BV27" i="9" a="1"/>
  <c r="P33" i="9" a="1"/>
  <c r="Z32" i="9" a="1"/>
  <c r="CC21" i="9" a="1"/>
  <c r="AF21" i="9" a="1"/>
  <c r="AU35" i="9" a="1"/>
  <c r="BS39" i="9" a="1"/>
  <c r="AU22" i="9" a="1"/>
  <c r="Q23" i="9" a="1"/>
  <c r="I32" i="9" a="1"/>
  <c r="CO28" i="9" a="1"/>
  <c r="BQ35" i="9" a="1"/>
  <c r="BX30" i="9" a="1"/>
  <c r="AE36" i="9" a="1"/>
  <c r="BX25" i="9" a="1"/>
  <c r="AU39" i="9" a="1"/>
  <c r="BU38" i="9" a="1"/>
  <c r="AA23" i="9" a="1"/>
  <c r="CQ26" i="9" a="1"/>
  <c r="AQ32" i="9" a="1"/>
  <c r="BJ29" i="9" a="1"/>
  <c r="AD31" i="9" a="1"/>
  <c r="O21" i="9" a="1"/>
  <c r="U22" i="9" a="1"/>
  <c r="G34" i="9" a="1"/>
  <c r="BW24" i="9" a="1"/>
  <c r="BG22" i="9" a="1"/>
  <c r="K20" i="13"/>
  <c r="AV27" i="9" a="1"/>
  <c r="BZ31" i="9" a="1"/>
  <c r="BS36" i="9" a="1"/>
  <c r="BF36" i="9" a="1"/>
  <c r="CH35" i="9" a="1"/>
  <c r="S24" i="9" a="1"/>
  <c r="R22" i="9" a="1"/>
  <c r="CP23" i="9" a="1"/>
  <c r="BB24" i="9" a="1"/>
  <c r="CR32" i="9" a="1"/>
  <c r="AG31" i="9" a="1"/>
  <c r="AM26" i="9" a="1"/>
  <c r="BX36" i="9" a="1"/>
  <c r="CN33" i="9" a="1"/>
  <c r="AS34" i="9" a="1"/>
  <c r="CL22" i="9" a="1"/>
  <c r="AX27" i="9" a="1"/>
  <c r="BA39" i="9" a="1"/>
  <c r="AH32" i="9" a="1"/>
  <c r="CG26" i="9" a="1"/>
  <c r="F35" i="9" a="1"/>
  <c r="CD28" i="9" a="1"/>
  <c r="BS22" i="9" a="1"/>
  <c r="AW31" i="9" a="1"/>
  <c r="BT24" i="9" a="1"/>
  <c r="H22" i="9" a="1"/>
  <c r="AS38" i="9" a="1"/>
  <c r="Z23" i="9" a="1"/>
  <c r="CG29" i="9" a="1"/>
  <c r="AW35" i="9" a="1"/>
  <c r="AM37" i="9" a="1"/>
  <c r="BN27" i="9" a="1"/>
  <c r="CC27" i="9" a="1"/>
  <c r="AX32" i="9" a="1"/>
  <c r="BH28" i="9" a="1"/>
  <c r="V35" i="9" a="1"/>
  <c r="H31" i="9" a="1"/>
  <c r="BV22" i="9" a="1"/>
  <c r="CM33" i="9" a="1"/>
  <c r="AN24" i="9" a="1"/>
  <c r="BT25" i="9" a="1"/>
  <c r="K31" i="9" a="1"/>
  <c r="BL38" i="9" a="1"/>
  <c r="BE22" i="9" a="1"/>
  <c r="CR26" i="9" a="1"/>
  <c r="AX26" i="9" a="1"/>
  <c r="AP32" i="9" a="1"/>
  <c r="AT22" i="9" a="1"/>
  <c r="CB21" i="9" a="1"/>
  <c r="BE24" i="9" a="1"/>
  <c r="J30" i="9" a="1"/>
  <c r="CJ27" i="9" a="1"/>
  <c r="V33" i="9" a="1"/>
  <c r="AQ36" i="9" a="1"/>
  <c r="O25" i="9" a="1"/>
  <c r="CQ21" i="9" a="1"/>
  <c r="AO24" i="9" a="1"/>
  <c r="AC24" i="9" a="1"/>
  <c r="CN31" i="9" a="1"/>
  <c r="AH27" i="9" a="1"/>
  <c r="BN22" i="9" a="1"/>
  <c r="CO31" i="9" a="1"/>
  <c r="AM31" i="9" a="1"/>
  <c r="G22" i="9" a="1"/>
  <c r="AN36" i="9" a="1"/>
  <c r="X29" i="9" a="1"/>
  <c r="W24" i="9" a="1"/>
  <c r="BV38" i="9" a="1"/>
  <c r="BG27" i="9" a="1"/>
  <c r="BT30" i="9" a="1"/>
  <c r="X32" i="9" a="1"/>
  <c r="CL33" i="9" a="1"/>
  <c r="AF35" i="9" a="1"/>
  <c r="E25" i="9" a="1"/>
  <c r="BW22" i="9" a="1"/>
  <c r="X38" i="9" a="1"/>
  <c r="Y20" i="9" a="1"/>
  <c r="AP27" i="9" a="1"/>
  <c r="U29" i="9" a="1"/>
  <c r="CH32" i="9" a="1"/>
  <c r="AN21" i="9" a="1"/>
  <c r="CN21" i="9" a="1"/>
  <c r="AP28" i="9" a="1"/>
  <c r="AB39" i="9" a="1"/>
  <c r="K27" i="9" a="1"/>
  <c r="CI23" i="9" a="1"/>
  <c r="V36" i="9" a="1"/>
  <c r="CJ32" i="9" a="1"/>
  <c r="X24" i="9" a="1"/>
  <c r="AA31" i="9" a="1"/>
  <c r="CI31" i="9" a="1"/>
  <c r="F31" i="9" a="1"/>
  <c r="BH24" i="9" a="1"/>
  <c r="CC36" i="9" a="1"/>
  <c r="BX27" i="9" a="1"/>
  <c r="AA39" i="9" a="1"/>
  <c r="W36" i="9" a="1"/>
  <c r="CG21" i="9" a="1"/>
  <c r="J35" i="9" a="1"/>
  <c r="AA28" i="9" a="1"/>
  <c r="AX22" i="9" a="1"/>
  <c r="AJ31" i="9" a="1"/>
  <c r="BC28" i="9" a="1"/>
  <c r="AW22" i="9" a="1"/>
  <c r="V31" i="9" a="1"/>
  <c r="BD30" i="9" a="1"/>
  <c r="AO31" i="9" a="1"/>
  <c r="BH31" i="9" a="1"/>
  <c r="O33" i="9" a="1"/>
  <c r="BV36" i="9" a="1"/>
  <c r="AF32" i="9" a="1"/>
  <c r="BU27" i="9" a="1"/>
  <c r="BN21" i="9" a="1"/>
  <c r="K172" i="15"/>
  <c r="CE24" i="9" a="1"/>
  <c r="AW21" i="9" a="1"/>
  <c r="BR23" i="9" a="1"/>
  <c r="AV34" i="9" a="1"/>
  <c r="BB28" i="9" a="1"/>
  <c r="Z37" i="9" a="1"/>
  <c r="Z31" i="9" a="1"/>
  <c r="H29" i="9" a="1"/>
  <c r="BQ36" i="9" a="1"/>
  <c r="J38" i="9" a="1"/>
  <c r="AH24" i="9" a="1"/>
  <c r="BU34" i="9" a="1"/>
  <c r="BM34" i="9" a="1"/>
  <c r="AJ23" i="9" a="1"/>
  <c r="CB36" i="9" a="1"/>
  <c r="AN28" i="9" a="1"/>
  <c r="G28" i="9" a="1"/>
  <c r="BS27" i="9" a="1"/>
  <c r="AT35" i="9" a="1"/>
  <c r="BO36" i="9" a="1"/>
  <c r="AK36" i="9" a="1"/>
  <c r="BS35" i="9" a="1"/>
  <c r="AY39" i="9" a="1"/>
  <c r="N23" i="9" a="1"/>
  <c r="P37" i="9" a="1"/>
  <c r="O32" i="9" a="1"/>
  <c r="O29" i="9" a="1"/>
  <c r="AN35" i="9" a="1"/>
  <c r="CK21" i="9" a="1"/>
  <c r="BI30" i="9" a="1"/>
  <c r="CK39" i="9" a="1"/>
  <c r="BT39" i="9" a="1"/>
  <c r="X33" i="9" a="1"/>
  <c r="CG32" i="9" a="1"/>
  <c r="J21" i="9" a="1"/>
  <c r="AX28" i="9" a="1"/>
  <c r="BT34" i="9" a="1"/>
  <c r="Q31" i="9" a="1"/>
  <c r="AX37" i="9" a="1"/>
  <c r="BP36" i="9" a="1"/>
  <c r="AF29" i="9" a="1"/>
  <c r="CH23" i="9" a="1"/>
  <c r="Z22" i="9" a="1"/>
  <c r="BQ28" i="9" a="1"/>
  <c r="T39" i="9" a="1"/>
  <c r="BL26" i="9" a="1"/>
  <c r="AA29" i="9" a="1"/>
  <c r="R32" i="9" a="1"/>
  <c r="AU24" i="9" a="1"/>
  <c r="CC35" i="9" a="1"/>
  <c r="BQ27" i="9" a="1"/>
  <c r="J22" i="9" a="1"/>
  <c r="BZ29" i="9" a="1"/>
  <c r="BQ24" i="9" a="1"/>
  <c r="W21" i="9" a="1"/>
  <c r="CP31" i="9" a="1"/>
  <c r="CL34" i="9" a="1"/>
  <c r="Y22" i="9" a="1"/>
  <c r="CN22" i="9" a="1"/>
  <c r="CM39" i="9" a="1"/>
  <c r="AK29" i="9" a="1"/>
  <c r="BO33" i="9" a="1"/>
  <c r="CB24" i="9" a="1"/>
  <c r="G26" i="9" a="1"/>
  <c r="W27" i="9" a="1"/>
  <c r="BW33" i="9" a="1"/>
  <c r="K36" i="9" a="1"/>
  <c r="Q21" i="9" a="1"/>
  <c r="AD21" i="9" a="1"/>
  <c r="G36" i="9" a="1"/>
  <c r="CF24" i="9" a="1"/>
  <c r="Q35" i="9" a="1"/>
  <c r="AC27" i="9" a="1"/>
  <c r="BI31" i="9" a="1"/>
  <c r="Y32" i="9" a="1"/>
  <c r="P32" i="9" a="1"/>
  <c r="F29" i="9" a="1"/>
  <c r="AG22" i="9" a="1"/>
  <c r="AJ33" i="9" a="1"/>
  <c r="R24" i="9" a="1"/>
  <c r="AH21" i="9" a="1"/>
  <c r="AU27" i="9" a="1"/>
  <c r="CF34" i="9" a="1"/>
  <c r="BC36" i="9" a="1"/>
  <c r="BJ37" i="9" a="1"/>
  <c r="AP35" i="9" a="1"/>
  <c r="AR29" i="9" a="1"/>
  <c r="AG26" i="9" a="1"/>
  <c r="AQ21" i="9" a="1"/>
  <c r="CJ28" i="9" a="1"/>
  <c r="AI30" i="9" a="1"/>
  <c r="G24" i="9" a="1"/>
  <c r="BM36" i="9" a="1"/>
  <c r="BW30" i="9" a="1"/>
  <c r="BS25" i="9" a="1"/>
  <c r="BY31" i="9" a="1"/>
  <c r="BX24" i="9" a="1"/>
  <c r="M36" i="9" a="1"/>
  <c r="CF27" i="9" a="1"/>
  <c r="O35" i="9" a="1"/>
  <c r="BH36" i="9" a="1"/>
  <c r="AS23" i="9" a="1"/>
  <c r="P24" i="9" a="1"/>
  <c r="BA28" i="9" a="1"/>
  <c r="F34" i="9" a="1"/>
  <c r="I26" i="9" a="1"/>
  <c r="AG24" i="9" a="1"/>
  <c r="CJ33" i="9" a="1"/>
  <c r="BK38" i="9" a="1"/>
  <c r="AK37" i="9" a="1"/>
  <c r="V27" i="9" a="1"/>
  <c r="CQ39" i="9" a="1"/>
  <c r="BE26" i="9" a="1"/>
  <c r="CA30" i="9" a="1"/>
  <c r="AH38" i="9" a="1"/>
  <c r="BO38" i="9" a="1"/>
  <c r="AV26" i="9" a="1"/>
  <c r="E33" i="9" a="1"/>
  <c r="BK29" i="9" a="1"/>
  <c r="E21" i="9" a="1"/>
  <c r="AL26" i="9" a="1"/>
  <c r="CD36" i="9" a="1"/>
  <c r="N21" i="9" a="1"/>
  <c r="F25" i="9" a="1"/>
  <c r="CE32" i="9" a="1"/>
  <c r="CI38" i="9" a="1"/>
  <c r="BP29" i="9" a="1"/>
  <c r="CF31" i="9" a="1"/>
  <c r="F28" i="9" a="1"/>
  <c r="BU22" i="9" a="1"/>
  <c r="S31" i="9" a="1"/>
  <c r="BD39" i="9" a="1"/>
  <c r="CJ22" i="9" a="1"/>
  <c r="CD23" i="9" a="1"/>
  <c r="AJ39" i="9" a="1"/>
  <c r="BN28" i="9" a="1"/>
  <c r="AT30" i="9" a="1"/>
  <c r="AS35" i="9" a="1"/>
  <c r="CR34" i="9" a="1"/>
  <c r="CR22" i="9" a="1"/>
  <c r="M37" i="9" a="1"/>
  <c r="BI33" i="9" a="1"/>
  <c r="BB22" i="9" a="1"/>
  <c r="Z30" i="9" a="1"/>
  <c r="K39" i="9" a="1"/>
  <c r="BB33" i="9" a="1"/>
  <c r="AZ23" i="9" a="1"/>
  <c r="W25" i="9" a="1"/>
  <c r="BO32" i="9" a="1"/>
  <c r="CL38" i="9" a="1"/>
  <c r="AH35" i="9" a="1"/>
  <c r="X26" i="9" a="1"/>
  <c r="L26" i="9" a="1"/>
  <c r="AP33" i="9" a="1"/>
  <c r="P23" i="9" a="1"/>
  <c r="V23" i="9" a="1"/>
  <c r="T28" i="9" a="1"/>
  <c r="CR29" i="9" a="1"/>
  <c r="G27" i="9" a="1"/>
  <c r="CB27" i="9" a="1"/>
  <c r="AI36" i="9" a="1"/>
  <c r="AM32" i="9" a="1"/>
  <c r="W35" i="9" a="1"/>
  <c r="BI35" i="9" a="1"/>
  <c r="BU23" i="9" a="1"/>
  <c r="Z33" i="9" a="1"/>
  <c r="P28" i="9" a="1"/>
  <c r="AN25" i="9" a="1"/>
  <c r="BP35" i="9" a="1"/>
  <c r="AF38" i="9" a="1"/>
  <c r="CE22" i="9" a="1"/>
  <c r="W26" i="9" a="1"/>
  <c r="CJ30" i="9" a="1"/>
  <c r="CF30" i="9" a="1"/>
  <c r="BN23" i="9" a="1"/>
  <c r="AV21" i="9" a="1"/>
  <c r="R28" i="9" a="1"/>
  <c r="AM30" i="9" a="1"/>
  <c r="BK31" i="9" a="1"/>
  <c r="CO37" i="9" a="1"/>
  <c r="AZ36" i="9" a="1"/>
  <c r="AW25" i="9" a="1"/>
  <c r="BJ25" i="9" a="1"/>
  <c r="CB26" i="9" a="1"/>
  <c r="BE28" i="9" a="1"/>
  <c r="S32" i="9" a="1"/>
  <c r="AT31" i="9" a="1"/>
  <c r="BE39" i="9" a="1"/>
  <c r="Z29" i="9" a="1"/>
  <c r="BD35" i="9" a="1"/>
  <c r="BY39" i="9" a="1"/>
  <c r="CG39" i="9" a="1"/>
  <c r="M33" i="9" a="1"/>
  <c r="AI28" i="9" a="1"/>
  <c r="AI25" i="9" a="1"/>
  <c r="CJ31" i="9" a="1"/>
  <c r="AX34" i="9" a="1"/>
  <c r="Q36" i="9" a="1"/>
  <c r="AN26" i="9" a="1"/>
  <c r="AK39" i="9" a="1"/>
  <c r="BN33" i="9" a="1"/>
  <c r="BI23" i="9" a="1"/>
  <c r="BH25" i="9" a="1"/>
  <c r="K362" i="14"/>
  <c r="BB31" i="9" a="1"/>
  <c r="CJ37" i="9" a="1"/>
  <c r="F36" i="9" a="1"/>
  <c r="AS25" i="9" a="1"/>
  <c r="L25" i="9" a="1"/>
  <c r="R31" i="9" a="1"/>
  <c r="T24" i="9" a="1"/>
  <c r="CR28" i="9" a="1"/>
  <c r="K29" i="9" a="1"/>
  <c r="CD27" i="9" a="1"/>
  <c r="CF21" i="9" a="1"/>
  <c r="BN32" i="9" a="1"/>
  <c r="R30" i="9" a="1"/>
  <c r="AL35" i="9" a="1"/>
  <c r="AL33" i="9" a="1"/>
  <c r="AP22" i="9" a="1"/>
  <c r="S25" i="9" a="1"/>
  <c r="AT28" i="9" a="1"/>
  <c r="K38" i="9" a="1"/>
  <c r="BY38" i="9" a="1"/>
  <c r="CJ35" i="9" a="1"/>
  <c r="BG28" i="9" a="1"/>
  <c r="BB32" i="9" a="1"/>
  <c r="CK28" i="9" a="1"/>
  <c r="AU31" i="9" a="1"/>
  <c r="AO35" i="9" a="1"/>
  <c r="AV36" i="9" a="1"/>
  <c r="P36" i="9" a="1"/>
  <c r="BJ39" i="9" a="1"/>
  <c r="AM24" i="9" a="1"/>
  <c r="CM27" i="9" a="1"/>
  <c r="BW37" i="9" a="1"/>
  <c r="CN36" i="9" a="1"/>
  <c r="BA29" i="9" a="1"/>
  <c r="AL39" i="9" a="1"/>
  <c r="BD21" i="9" a="1"/>
  <c r="AJ34" i="9" a="1"/>
  <c r="BA21" i="9" a="1"/>
  <c r="S39" i="9" a="1"/>
  <c r="CE33" i="9" a="1"/>
  <c r="BW23" i="9" a="1"/>
  <c r="AG21" i="9" a="1"/>
  <c r="AI32" i="9" a="1"/>
  <c r="AN34" i="9" a="1"/>
  <c r="CP35" i="9" a="1"/>
  <c r="R37" i="9" a="1"/>
  <c r="BK22" i="9" a="1"/>
  <c r="CN29" i="9" a="1"/>
  <c r="F27" i="9" a="1"/>
  <c r="L31" i="9" a="1"/>
  <c r="L32" i="9" a="1"/>
  <c r="BM22" i="9" a="1"/>
  <c r="AD39" i="9" a="1"/>
  <c r="AC38" i="9" a="1"/>
  <c r="AD36" i="9" a="1"/>
  <c r="CA22" i="9" a="1"/>
  <c r="AZ39" i="9" a="1"/>
  <c r="H24" i="9" a="1"/>
  <c r="AU23" i="9" a="1"/>
  <c r="BR37" i="9" a="1"/>
  <c r="L28" i="9" a="1"/>
  <c r="AZ29" i="9" a="1"/>
  <c r="N35" i="9" a="1"/>
  <c r="AA38" i="9" a="1"/>
  <c r="AK26" i="9" a="1"/>
  <c r="AY30" i="9" a="1"/>
  <c r="O24" i="9" a="1"/>
  <c r="CR37" i="9" a="1"/>
  <c r="K1616" i="22"/>
  <c r="U28" i="9" a="1"/>
  <c r="BK34" i="9" a="1"/>
  <c r="AY31" i="9" a="1"/>
  <c r="AO37" i="9" a="1"/>
  <c r="M22" i="9" a="1"/>
  <c r="BY29" i="9" a="1"/>
  <c r="CG36" i="9" a="1"/>
  <c r="BL31" i="9" a="1"/>
  <c r="BV28" i="9" a="1"/>
  <c r="CH26" i="9" a="1"/>
  <c r="N31" i="9" a="1"/>
  <c r="AE24" i="9" a="1"/>
  <c r="CL36" i="9" a="1"/>
  <c r="CA35" i="9" a="1"/>
  <c r="X28" i="9" a="1"/>
  <c r="CG33" i="9" a="1"/>
  <c r="AN31" i="9" a="1"/>
  <c r="CQ28" i="9" a="1"/>
  <c r="AC22" i="9" a="1"/>
  <c r="W31" i="9" a="1"/>
  <c r="AZ24" i="9" a="1"/>
  <c r="BF23" i="9" a="1"/>
  <c r="AQ35" i="9" a="1"/>
  <c r="V26" i="9" a="1"/>
  <c r="AE35" i="9" a="1"/>
  <c r="AI31" i="9" a="1"/>
  <c r="AZ32" i="9" a="1"/>
  <c r="BZ27" i="9" a="1"/>
  <c r="G23" i="9" a="1"/>
  <c r="BZ32" i="9" a="1"/>
  <c r="CQ31" i="9" a="1"/>
  <c r="BE23" i="9" a="1"/>
  <c r="AN38" i="9" a="1"/>
  <c r="BI36" i="9" a="1"/>
  <c r="BK39" i="9" a="1"/>
  <c r="BY23" i="9" a="1"/>
  <c r="X27" i="9" a="1"/>
  <c r="BL32" i="9" a="1"/>
  <c r="AP23" i="9" a="1"/>
  <c r="BU24" i="9" a="1"/>
  <c r="BR33" i="9" a="1"/>
  <c r="AL31" i="9" a="1"/>
  <c r="AL28" i="9" a="1"/>
  <c r="CD39" i="9" a="1"/>
  <c r="CG34" i="9" a="1"/>
  <c r="AX33" i="9" a="1"/>
  <c r="BW27" i="9" a="1"/>
  <c r="AQ30" i="9" a="1"/>
  <c r="O23" i="9" a="1"/>
  <c r="AP36" i="9" a="1"/>
  <c r="P25" i="9" a="1"/>
  <c r="H26" i="9" a="1"/>
  <c r="CM29" i="9" a="1"/>
  <c r="G30" i="9" a="1"/>
  <c r="AZ35" i="9" a="1"/>
  <c r="K1654" i="22"/>
  <c r="AS21" i="9" a="1"/>
  <c r="AN20" i="9" a="1"/>
  <c r="F30" i="9" a="1"/>
  <c r="AC29" i="9" a="1"/>
  <c r="BX38" i="9" a="1"/>
  <c r="AO34" i="9" a="1"/>
  <c r="X31" i="9" a="1"/>
  <c r="V20" i="9" a="1"/>
  <c r="M32" i="9" a="1"/>
  <c r="BM31" i="9" a="1"/>
  <c r="BE27" i="9" a="1"/>
  <c r="AM22" i="9" a="1"/>
  <c r="BB29" i="9" a="1"/>
  <c r="AY33" i="9" a="1"/>
  <c r="CL30" i="9" a="1"/>
  <c r="BO22" i="9" a="1"/>
  <c r="BJ33" i="9" a="1"/>
  <c r="K286" i="15"/>
  <c r="BJ31" i="9" a="1"/>
  <c r="BU33" i="9" a="1"/>
  <c r="CG22" i="9" a="1"/>
  <c r="BM30" i="9" a="1"/>
  <c r="AQ37" i="9" a="1"/>
  <c r="CI28" i="9" a="1"/>
  <c r="AB28" i="9" a="1"/>
  <c r="BG24" i="9" a="1"/>
  <c r="CQ32" i="9" a="1"/>
  <c r="AH34" i="9" a="1"/>
  <c r="V32" i="9" a="1"/>
  <c r="K818" i="22"/>
  <c r="AM38" i="9" a="1"/>
  <c r="V24" i="9" a="1"/>
  <c r="BH35" i="9" a="1"/>
  <c r="BH29" i="9" a="1"/>
  <c r="K856" i="22"/>
  <c r="AO38" i="9" a="1"/>
  <c r="AA21" i="9" a="1"/>
  <c r="AF36" i="9" a="1"/>
  <c r="CA29" i="9" a="1"/>
  <c r="K32" i="9" a="1"/>
  <c r="CG35" i="9" a="1"/>
  <c r="BF21" i="9" a="1"/>
  <c r="K1730" i="22"/>
  <c r="Y35" i="9" a="1"/>
  <c r="AY32" i="9" a="1"/>
  <c r="BC30" i="9" a="1"/>
  <c r="AT26" i="9" a="1"/>
  <c r="BI24" i="9" a="1"/>
  <c r="AO29" i="9" a="1"/>
  <c r="BI25" i="9" a="1"/>
  <c r="BN39" i="9" a="1"/>
  <c r="BX23" i="9" a="1"/>
  <c r="BV24" i="9" a="1"/>
  <c r="BT31" i="9" a="1"/>
  <c r="CA27" i="9" a="1"/>
  <c r="AE23" i="9" a="1"/>
  <c r="AJ32" i="9" a="1"/>
  <c r="AG35" i="9" a="1"/>
  <c r="BJ22" i="9" a="1"/>
  <c r="CK34" i="9" a="1"/>
  <c r="BB27" i="9" a="1"/>
  <c r="BJ35" i="9" a="1"/>
  <c r="BY32" i="9" a="1"/>
  <c r="AP38" i="9" a="1"/>
  <c r="E30" i="9" a="1"/>
  <c r="BR24" i="9" a="1"/>
  <c r="N32" i="9" a="1"/>
  <c r="CI39" i="9" a="1"/>
  <c r="AA24" i="9" a="1"/>
  <c r="K590" i="22"/>
  <c r="AU29" i="9" a="1"/>
  <c r="E27" i="9" a="1"/>
  <c r="AZ21" i="9" a="1"/>
  <c r="BT20" i="9" a="1"/>
  <c r="BM27" i="9" a="1"/>
  <c r="K324" i="22"/>
  <c r="AB20" i="9" a="1"/>
  <c r="CP36" i="9" a="1"/>
  <c r="K932" i="22"/>
  <c r="Q34" i="9" a="1"/>
  <c r="CO26" i="9" a="1"/>
  <c r="I23" i="9" a="1"/>
  <c r="AH20" i="9" a="1"/>
  <c r="M29" i="9" a="1"/>
  <c r="BP33" i="9" a="1"/>
  <c r="R39" i="9" a="1"/>
  <c r="BZ23" i="9" a="1"/>
  <c r="AP30" i="9" a="1"/>
  <c r="CJ23" i="9" a="1"/>
  <c r="BW38" i="9" a="1"/>
  <c r="W20" i="9" a="1"/>
  <c r="AW27" i="9" a="1"/>
  <c r="AC25" i="9" a="1"/>
  <c r="AI20" i="9" a="1"/>
  <c r="BY36" i="9" a="1"/>
  <c r="BY33" i="9" a="1"/>
  <c r="AY25" i="9" a="1"/>
  <c r="CO33" i="9" a="1"/>
  <c r="BS33" i="9" a="1"/>
  <c r="BU29" i="9" a="1"/>
  <c r="K58" i="13"/>
  <c r="AJ26" i="9" a="1"/>
  <c r="BS20" i="9" a="1"/>
  <c r="AK21" i="9" a="1"/>
  <c r="CO29" i="9" a="1"/>
  <c r="CK23" i="9" a="1"/>
  <c r="BP27" i="9" a="1"/>
  <c r="BA34" i="9" a="1"/>
  <c r="AP25" i="9" a="1"/>
  <c r="F38" i="9" a="1"/>
  <c r="S34" i="9" a="1"/>
  <c r="I37" i="9" a="1"/>
  <c r="AE37" i="9" a="1"/>
  <c r="K1160" i="22"/>
  <c r="J28" i="9" a="1"/>
  <c r="AI23" i="9" a="1"/>
  <c r="BM24" i="9" a="1"/>
  <c r="AV30" i="9" a="1"/>
  <c r="AK22" i="9" a="1"/>
  <c r="I39" i="9" a="1"/>
  <c r="AD32" i="9" a="1"/>
  <c r="AG32" i="9" a="1"/>
  <c r="BX35" i="9" a="1"/>
  <c r="BZ36" i="9" a="1"/>
  <c r="CH29" i="9" a="1"/>
  <c r="O27" i="9" a="1"/>
  <c r="AJ22" i="9" a="1"/>
  <c r="CM24" i="9" a="1"/>
  <c r="BJ27" i="9" a="1"/>
  <c r="F22" i="9" a="1"/>
  <c r="AV38" i="9" a="1"/>
  <c r="BY21" i="9" a="1"/>
  <c r="Z28" i="9" a="1"/>
  <c r="BH23" i="9" a="1"/>
  <c r="AA25" i="9" a="1"/>
  <c r="AB36" i="9" a="1"/>
  <c r="AV31" i="9" a="1"/>
  <c r="Y23" i="9" a="1"/>
  <c r="K286" i="14"/>
  <c r="BO27" i="9" a="1"/>
  <c r="CI36" i="9" a="1"/>
  <c r="K134" i="15"/>
  <c r="CA39" i="9" a="1"/>
  <c r="AT37" i="9" a="1"/>
  <c r="BV29" i="9" a="1"/>
  <c r="AJ28" i="9" a="1"/>
  <c r="CO20" i="9" a="1"/>
  <c r="K33" i="9" a="1"/>
  <c r="AU38" i="9" a="1"/>
  <c r="AY29" i="9" a="1"/>
  <c r="K28" i="9" a="1"/>
  <c r="CR25" i="9" a="1"/>
  <c r="AQ24" i="9" a="1"/>
  <c r="CQ34" i="9" a="1"/>
  <c r="AD25" i="9" a="1"/>
  <c r="S21" i="9" a="1"/>
  <c r="K400" i="22"/>
  <c r="Z35" i="9" a="1"/>
  <c r="BW26" i="9" a="1"/>
  <c r="BR20" i="9" a="1"/>
  <c r="L39" i="9" a="1"/>
  <c r="AL34" i="9" a="1"/>
  <c r="AT39" i="9" a="1"/>
  <c r="AS20" i="9" a="1"/>
  <c r="AB25" i="9" a="1"/>
  <c r="BO37" i="9" a="1"/>
  <c r="L23" i="9" a="1"/>
  <c r="AS26" i="9" a="1"/>
  <c r="K20" i="9" a="1"/>
  <c r="T32" i="9" a="1"/>
  <c r="CE34" i="9" a="1"/>
  <c r="BA36" i="9" a="1"/>
  <c r="BF31" i="9" a="1"/>
  <c r="K134" i="5"/>
  <c r="BE36" i="9" a="1"/>
  <c r="CI21" i="9" a="1"/>
  <c r="AC26" i="9" a="1"/>
  <c r="E34" i="9" a="1"/>
  <c r="AO20" i="9" a="1"/>
  <c r="X21" i="9" a="1"/>
  <c r="BA20" i="9" a="1"/>
  <c r="K37" i="9" a="1"/>
  <c r="BC32" i="9" a="1"/>
  <c r="CA32" i="9" a="1"/>
  <c r="AG33" i="9" a="1"/>
  <c r="BC39" i="9" a="1"/>
  <c r="BZ28" i="9" a="1"/>
  <c r="Y37" i="9" a="1"/>
  <c r="CH31" i="9" a="1"/>
  <c r="AB29" i="9" a="1"/>
  <c r="CH25" i="9" a="1"/>
  <c r="AQ31" i="9" a="1"/>
  <c r="CK31" i="9" a="1"/>
  <c r="AL36" i="9" a="1"/>
  <c r="W37" i="9" a="1"/>
  <c r="BL20" i="9" a="1"/>
  <c r="CJ25" i="9" a="1"/>
  <c r="AZ20" i="9" a="1"/>
  <c r="K1046" i="22"/>
  <c r="V22" i="9" a="1"/>
  <c r="CB39" i="9" a="1"/>
  <c r="U33" i="9" a="1"/>
  <c r="BE33" i="9" a="1"/>
  <c r="AF23" i="9" a="1"/>
  <c r="BP25" i="9" a="1"/>
  <c r="AZ38" i="9" a="1"/>
  <c r="S26" i="9" a="1"/>
  <c r="AG28" i="9" a="1"/>
  <c r="AT27" i="9" a="1"/>
  <c r="AK24" i="9" a="1"/>
  <c r="CQ35" i="9" a="1"/>
  <c r="U26" i="9" a="1"/>
  <c r="BW28" i="9" a="1"/>
  <c r="CO27" i="9" a="1"/>
  <c r="H30" i="9" a="1"/>
  <c r="BD34" i="9" a="1"/>
  <c r="BN37" i="9" a="1"/>
  <c r="AL32" i="9" a="1"/>
  <c r="CM22" i="9" a="1"/>
  <c r="BF35" i="9" a="1"/>
  <c r="BL30" i="9" a="1"/>
  <c r="CN37" i="9" a="1"/>
  <c r="AK27" i="9" a="1"/>
  <c r="CM38" i="9" a="1"/>
  <c r="AQ39" i="9" a="1"/>
  <c r="CD33" i="9" a="1"/>
  <c r="BX39" i="9" a="1"/>
  <c r="BO30" i="9" a="1"/>
  <c r="BY34" i="9" a="1"/>
  <c r="AY34" i="9" a="1"/>
  <c r="Y38" i="9" a="1"/>
  <c r="BC38" i="9" a="1"/>
  <c r="BL23" i="9" a="1"/>
  <c r="BT28" i="9" a="1"/>
  <c r="M23" i="9" a="1"/>
  <c r="AH39" i="9" a="1"/>
  <c r="BK25" i="9" a="1"/>
  <c r="K25" i="9" a="1"/>
  <c r="CM26" i="9" a="1"/>
  <c r="AJ20" i="9" a="1"/>
  <c r="O20" i="9" a="1"/>
  <c r="AD35" i="9" a="1"/>
  <c r="CL28" i="9" a="1"/>
  <c r="I33" i="9" a="1"/>
  <c r="BW21" i="9" a="1"/>
  <c r="AA22" i="9" a="1"/>
  <c r="BQ37" i="9" a="1"/>
  <c r="BH22" i="9" a="1"/>
  <c r="AD30" i="9" a="1"/>
  <c r="BB25" i="9" a="1"/>
  <c r="BG38" i="9" a="1"/>
  <c r="AX38" i="9" a="1"/>
  <c r="CF25" i="9" a="1"/>
  <c r="AN37" i="9" a="1"/>
  <c r="O37" i="9" a="1"/>
  <c r="K1084" i="22"/>
  <c r="CI33" i="9" a="1"/>
  <c r="Q29" i="9" a="1"/>
  <c r="BP26" i="9" a="1"/>
  <c r="AB34" i="9" a="1"/>
  <c r="K324" i="14"/>
  <c r="BA26" i="9" a="1"/>
  <c r="AP24" i="9" a="1"/>
  <c r="AF37" i="9" a="1"/>
  <c r="BG26" i="9" a="1"/>
  <c r="F21" i="9" a="1"/>
  <c r="CR20" i="9" a="1"/>
  <c r="BE29" i="9" a="1"/>
  <c r="BC25" i="9" a="1"/>
  <c r="K1502" i="22"/>
  <c r="AN32" i="9" a="1"/>
  <c r="T37" i="9" a="1"/>
  <c r="AS31" i="9" a="1"/>
  <c r="CF28" i="9" a="1"/>
  <c r="CQ20" i="9" a="1"/>
  <c r="CC31" i="9" a="1"/>
  <c r="AK30" i="9" a="1"/>
  <c r="K286" i="22"/>
  <c r="J37" i="9" a="1"/>
  <c r="BC27" i="9" a="1"/>
  <c r="K134" i="22"/>
  <c r="AN27" i="9" a="1"/>
  <c r="AU32" i="9" a="1"/>
  <c r="I27" i="9" a="1"/>
  <c r="AR27" i="9" a="1"/>
  <c r="CN39" i="9" a="1"/>
  <c r="J26" i="9" a="1"/>
  <c r="CB35" i="9" a="1"/>
  <c r="BD31" i="9" a="1"/>
  <c r="CG28" i="9" a="1"/>
  <c r="BD38" i="9" a="1"/>
  <c r="M28" i="9" a="1"/>
  <c r="BG35" i="9" a="1"/>
  <c r="AY23" i="9" a="1"/>
  <c r="AV32" i="9" a="1"/>
  <c r="CF35" i="9" a="1"/>
  <c r="CD35" i="9" a="1"/>
  <c r="CO21" i="9" a="1"/>
  <c r="CM23" i="9" a="1"/>
  <c r="AE39" i="9" a="1"/>
  <c r="M27" i="9" a="1"/>
  <c r="Q28" i="9" a="1"/>
  <c r="CP38" i="9" a="1"/>
  <c r="AS24" i="9" a="1"/>
  <c r="CO22" i="9" a="1"/>
  <c r="BG23" i="9" a="1"/>
  <c r="K21" i="9" a="1"/>
  <c r="BV31" i="9" a="1"/>
  <c r="F32" i="9" a="1"/>
  <c r="S33" i="9" a="1"/>
  <c r="BG32" i="9" a="1"/>
  <c r="K1806" i="22"/>
  <c r="BS21" i="9" a="1"/>
  <c r="CJ20" i="9" a="1"/>
  <c r="AJ38" i="9" a="1"/>
  <c r="CO32" i="9" a="1"/>
  <c r="CC39" i="9" a="1"/>
  <c r="BZ34" i="9" a="1"/>
  <c r="AI38" i="9" a="1"/>
  <c r="AB21" i="9" a="1"/>
  <c r="BL29" i="9" a="1"/>
  <c r="CQ23" i="9" a="1"/>
  <c r="BU26" i="9" a="1"/>
  <c r="U30" i="9" a="1"/>
  <c r="CD22" i="9" a="1"/>
  <c r="AT21" i="9" a="1"/>
  <c r="Q24" i="9" a="1"/>
  <c r="BW34" i="9" a="1"/>
  <c r="CL29" i="9" a="1"/>
  <c r="CB38" i="9" a="1"/>
  <c r="K590" i="14"/>
  <c r="K248" i="15"/>
  <c r="AR20" i="9" a="1"/>
  <c r="BT36" i="9" a="1"/>
  <c r="U39" i="9" a="1"/>
  <c r="K210" i="5"/>
  <c r="AE33" i="9" a="1"/>
  <c r="BN30" i="9" a="1"/>
  <c r="AI39" i="9" a="1"/>
  <c r="Q22" i="9" a="1"/>
  <c r="CR21" i="9" a="1"/>
  <c r="BQ26" i="9" a="1"/>
  <c r="BU30" i="9" a="1"/>
  <c r="BZ25" i="9" a="1"/>
  <c r="CC38" i="9" a="1"/>
  <c r="BC22" i="9" a="1"/>
  <c r="BZ33" i="9" a="1"/>
  <c r="T20" i="9" a="1"/>
  <c r="CJ21" i="9" a="1"/>
  <c r="BL37" i="9" a="1"/>
  <c r="BH32" i="9" a="1"/>
  <c r="K628" i="14"/>
  <c r="CR24" i="9" a="1"/>
  <c r="E23" i="9" a="1"/>
  <c r="BM25" i="9" a="1"/>
  <c r="X39" i="9" a="1"/>
  <c r="AO32" i="9" a="1"/>
  <c r="CA34" i="9" a="1"/>
  <c r="BK26" i="9" a="1"/>
  <c r="BD23" i="9" a="1"/>
  <c r="BU35" i="9" a="1"/>
  <c r="CK30" i="9" a="1"/>
  <c r="BT22" i="9" a="1"/>
  <c r="X36" i="9" a="1"/>
  <c r="CR35" i="9" a="1"/>
  <c r="AC23" i="9" a="1"/>
  <c r="AZ28" i="9" a="1"/>
  <c r="CE28" i="9" a="1"/>
  <c r="AZ25" i="9" a="1"/>
  <c r="AH37" i="9" a="1"/>
  <c r="AV29" i="9" a="1"/>
  <c r="Y31" i="9" a="1"/>
  <c r="BR39" i="9" a="1"/>
  <c r="AW26" i="9" a="1"/>
  <c r="BG37" i="9" a="1"/>
  <c r="BA25" i="9" a="1"/>
  <c r="AA32" i="9" a="1"/>
  <c r="Q37" i="9" a="1"/>
  <c r="BI38" i="9" a="1"/>
  <c r="AF26" i="9" a="1"/>
  <c r="AL25" i="9" a="1"/>
  <c r="CL27" i="9" a="1"/>
  <c r="BG29" i="9" a="1"/>
  <c r="BM39" i="9" a="1"/>
  <c r="BQ21" i="9" a="1"/>
  <c r="BG20" i="9" a="1"/>
  <c r="BS38" i="9" a="1"/>
  <c r="K1122" i="22"/>
  <c r="W28" i="9" a="1"/>
  <c r="BK37" i="9" a="1"/>
  <c r="AW37" i="9" a="1"/>
  <c r="AD34" i="9" a="1"/>
  <c r="CI37" i="9" a="1"/>
  <c r="S37" i="9" a="1"/>
  <c r="M21" i="9" a="1"/>
  <c r="BH27" i="9" a="1"/>
  <c r="BT26" i="9" a="1"/>
  <c r="CP22" i="9" a="1"/>
  <c r="K894" i="22"/>
  <c r="AV33" i="9" a="1"/>
  <c r="AE31" i="9" a="1"/>
  <c r="BP37" i="9" a="1"/>
  <c r="BJ20" i="9" a="1"/>
  <c r="BZ21" i="9" a="1"/>
  <c r="BC29" i="9" a="1"/>
  <c r="BH30" i="9" a="1"/>
  <c r="CN25" i="9" a="1"/>
  <c r="K210" i="14"/>
  <c r="BO20" i="9" a="1"/>
  <c r="AE25" i="9" a="1"/>
  <c r="BD25" i="9" a="1"/>
  <c r="BD36" i="9" a="1"/>
  <c r="BF30" i="9" a="1"/>
  <c r="G20" i="9" a="1"/>
  <c r="BR28" i="9" a="1"/>
  <c r="CG25" i="9" a="1"/>
  <c r="AR21" i="9" a="1"/>
  <c r="AV23" i="9" a="1"/>
  <c r="AW34" i="9" a="1"/>
  <c r="CE20" i="9" a="1"/>
  <c r="Y27" i="9" a="1"/>
  <c r="AA34" i="9" a="1"/>
  <c r="S22" i="9" a="1"/>
  <c r="U37" i="9" a="1"/>
  <c r="K1350" i="22"/>
  <c r="AW36" i="9" a="1"/>
  <c r="AX35" i="9" a="1"/>
  <c r="CQ37" i="9" a="1"/>
  <c r="AB24" i="9" a="1"/>
  <c r="AQ33" i="9" a="1"/>
  <c r="K1692" i="22"/>
  <c r="E32" i="9" a="1"/>
  <c r="AW24" i="9" a="1"/>
  <c r="H32" i="9" a="1"/>
  <c r="L27" i="9" a="1"/>
  <c r="CH27" i="9" a="1"/>
  <c r="BW25" i="9" a="1"/>
  <c r="BR22" i="9" a="1"/>
  <c r="CQ27" i="9" a="1"/>
  <c r="CM28" i="9" a="1"/>
  <c r="AE20" i="9" a="1"/>
  <c r="BT21" i="9" a="1"/>
  <c r="BP32" i="9" a="1"/>
  <c r="AM35" i="9" a="1"/>
  <c r="R27" i="9" a="1"/>
  <c r="AB32" i="9" a="1"/>
  <c r="AI35" i="9" a="1"/>
  <c r="CK22" i="9" a="1"/>
  <c r="AH30" i="9" a="1"/>
  <c r="BD24" i="9" a="1"/>
  <c r="BB23" i="9" a="1"/>
  <c r="CB32" i="9" a="1"/>
  <c r="CK35" i="9" a="1"/>
  <c r="CO30" i="9" a="1"/>
  <c r="Z34" i="9" a="1"/>
  <c r="BB26" i="9" a="1"/>
  <c r="Q25" i="9" a="1"/>
  <c r="BJ28" i="9" a="1"/>
  <c r="J24" i="9" a="1"/>
  <c r="AL30" i="9" a="1"/>
  <c r="AI22" i="9" a="1"/>
  <c r="AX30" i="9" a="1"/>
  <c r="X30" i="9" a="1"/>
  <c r="AR25" i="9" a="1"/>
  <c r="CC20" i="9" a="1"/>
  <c r="BP22" i="9" a="1"/>
  <c r="BX37" i="9" a="1"/>
  <c r="S30" i="9" a="1"/>
  <c r="CA28" i="9" a="1"/>
  <c r="CK20" i="9" a="1"/>
  <c r="BV34" i="9" a="1"/>
  <c r="AL27" i="9" a="1"/>
  <c r="CM25" i="9" a="1"/>
  <c r="AA27" i="9" a="1"/>
  <c r="M24" i="9" a="1"/>
  <c r="Z25" i="9" a="1"/>
  <c r="AM28" i="9" a="1"/>
  <c r="K26" i="9" a="1"/>
  <c r="BR21" i="9" a="1"/>
  <c r="AC21" i="9" a="1"/>
  <c r="BU20" i="9" a="1"/>
  <c r="BH33" i="9" a="1"/>
  <c r="J20" i="9" a="1"/>
  <c r="P30" i="9" a="1"/>
  <c r="BV20" i="9" a="1"/>
  <c r="W39" i="9" a="1"/>
  <c r="CC34" i="9" a="1"/>
  <c r="BQ34" i="9" a="1"/>
  <c r="CG37" i="9" a="1"/>
  <c r="BN24" i="9" a="1"/>
  <c r="BJ32" i="9" a="1"/>
  <c r="BE31" i="9" a="1"/>
  <c r="AZ33" i="9" a="1"/>
  <c r="CK37" i="9" a="1"/>
  <c r="AH29" i="9" a="1"/>
  <c r="N26" i="9" a="1"/>
  <c r="CB25" i="9" a="1"/>
  <c r="AR36" i="9" a="1"/>
  <c r="BS26" i="9" a="1"/>
  <c r="AC36" i="9" a="1"/>
  <c r="BL27" i="9" a="1"/>
  <c r="AN33" i="9" a="1"/>
  <c r="T35" i="9" a="1"/>
  <c r="CD21" i="9" a="1"/>
  <c r="AO23" i="9" a="1"/>
  <c r="BS30" i="9" a="1"/>
  <c r="AD20" i="9" a="1"/>
  <c r="CF37" i="9" a="1"/>
  <c r="L36" i="9" a="1"/>
  <c r="AH31" i="9" a="1"/>
  <c r="BW29" i="9" a="1"/>
  <c r="BY27" i="9" a="1"/>
  <c r="T22" i="9" a="1"/>
  <c r="X37" i="9" a="1"/>
  <c r="K58" i="15"/>
  <c r="AU33" i="9" a="1"/>
  <c r="BX20" i="9" a="1"/>
  <c r="U20" i="9" a="1"/>
  <c r="BC26" i="9" a="1"/>
  <c r="CC25" i="9" a="1"/>
  <c r="X25" i="9" a="1"/>
  <c r="O31" i="9" a="1"/>
  <c r="CL20" i="9" a="1"/>
  <c r="AM23" i="9" a="1"/>
  <c r="S38" i="9" a="1"/>
  <c r="M26" i="9" a="1"/>
  <c r="N34" i="9" a="1"/>
  <c r="CD29" i="9" a="1"/>
  <c r="CN34" i="9" a="1"/>
  <c r="BI20" i="9" a="1"/>
  <c r="J31" i="9" a="1"/>
  <c r="CQ33" i="9" a="1"/>
  <c r="CC30" i="9" a="1"/>
  <c r="CI22" i="9" a="1"/>
  <c r="BI39" i="9" a="1"/>
  <c r="BE32" i="9" a="1"/>
  <c r="BG34" i="9" a="1"/>
  <c r="AL21" i="9" a="1"/>
  <c r="Y34" i="9" a="1"/>
  <c r="BQ20" i="9" a="1"/>
  <c r="BN38" i="9" a="1"/>
  <c r="Y28" i="9" a="1"/>
  <c r="N29" i="9" a="1"/>
  <c r="E24" i="9" a="1"/>
  <c r="CI27" i="9" a="1"/>
  <c r="AQ29" i="9" a="1"/>
  <c r="K248" i="22"/>
  <c r="AK23" i="9" a="1"/>
  <c r="K35" i="9" a="1"/>
  <c r="CA36" i="9" a="1"/>
  <c r="AD26" i="9" a="1"/>
  <c r="V25" i="9" a="1"/>
  <c r="L34" i="9" a="1"/>
  <c r="K1312" i="22"/>
  <c r="BK33" i="9" a="1"/>
  <c r="CL25" i="9" a="1"/>
  <c r="T36" i="9" a="1"/>
  <c r="CR33" i="9" a="1"/>
  <c r="AX39" i="9" a="1"/>
  <c r="P39" i="9" a="1"/>
  <c r="CD25" i="9" a="1"/>
  <c r="AX21" i="9" a="1"/>
  <c r="AV24" i="9" a="1"/>
  <c r="CC28" i="9" a="1"/>
  <c r="AJ29" i="9" a="1"/>
  <c r="CF29" i="9" a="1"/>
  <c r="BP21" i="9" a="1"/>
  <c r="BC35" i="9" a="1"/>
  <c r="H33" i="9" a="1"/>
  <c r="CJ34" i="9" a="1"/>
  <c r="BO21" i="9" a="1"/>
  <c r="AT38" i="9" a="1"/>
  <c r="BI21" i="9" a="1"/>
  <c r="AB26" i="9" a="1"/>
  <c r="E38" i="9" a="1"/>
  <c r="K780" i="22"/>
  <c r="AE34" i="9" a="1"/>
  <c r="BR26" i="9" a="1"/>
  <c r="AB27" i="9" a="1"/>
  <c r="CQ29" i="9" a="1"/>
  <c r="AB30" i="9" a="1"/>
  <c r="R25" i="9" a="1"/>
  <c r="AM29" i="9" a="1"/>
  <c r="AE28" i="9" a="1"/>
  <c r="L21" i="9" a="1"/>
  <c r="AG37" i="9" a="1"/>
  <c r="T26" i="9" a="1"/>
  <c r="AC35" i="9" a="1"/>
  <c r="K1464" i="22"/>
  <c r="G39" i="9" a="1"/>
  <c r="BZ38" i="9" a="1"/>
  <c r="BV32" i="9" a="1"/>
  <c r="BW39" i="9" a="1"/>
  <c r="BO34" i="9" a="1"/>
  <c r="CN26" i="9" a="1"/>
  <c r="BL25" i="9" a="1"/>
  <c r="CR31" i="9" a="1"/>
  <c r="N20" i="9" a="1"/>
  <c r="Y25" i="9" a="1"/>
  <c r="BR38" i="9" a="1"/>
  <c r="L20" i="9" a="1"/>
  <c r="K742" i="22"/>
  <c r="BB37" i="9" a="1"/>
  <c r="AO25" i="9" a="1"/>
  <c r="X20" i="9" a="1"/>
  <c r="AG20" i="9" a="1"/>
  <c r="BS23" i="9" a="1"/>
  <c r="CR23" i="9" a="1"/>
  <c r="BB21" i="9" a="1"/>
  <c r="BV30" i="9" a="1"/>
  <c r="AR35" i="9" a="1"/>
  <c r="L38" i="9" a="1"/>
  <c r="BU25" i="9" a="1"/>
  <c r="BI32" i="9" a="1"/>
  <c r="CA21" i="9" a="1"/>
  <c r="AN39" i="9" a="1"/>
  <c r="AD38" i="9" a="1"/>
  <c r="M39" i="9" a="1"/>
  <c r="AV22" i="9" a="1"/>
  <c r="BK20" i="9" a="1"/>
  <c r="BF33" i="9" a="1"/>
  <c r="AR30" i="9" a="1"/>
  <c r="K1274" i="22"/>
  <c r="AU30" i="9" a="1"/>
  <c r="BJ30" i="9" a="1"/>
  <c r="CN38" i="9" a="1"/>
  <c r="BW35" i="9" a="1"/>
  <c r="AG38" i="9" a="1"/>
  <c r="CH21" i="9" a="1"/>
  <c r="K20" i="22"/>
  <c r="AK38" i="9" a="1"/>
  <c r="AB38" i="9" a="1"/>
  <c r="BD28" i="9" a="1"/>
  <c r="K970" i="22"/>
  <c r="F20" i="9" a="1"/>
  <c r="Q26" i="9" a="1"/>
  <c r="BT29" i="9" a="1"/>
  <c r="W33" i="9" a="1"/>
  <c r="BE30" i="9" a="1"/>
  <c r="K23" i="9" a="1"/>
  <c r="AD33" i="9" a="1"/>
  <c r="CK38" i="9" a="1"/>
  <c r="K704" i="22"/>
  <c r="AQ23" i="9" a="1"/>
  <c r="BF22" i="9" a="1"/>
  <c r="AM34" i="9" a="1"/>
  <c r="E36" i="9" a="1"/>
  <c r="CB20" i="9" a="1"/>
  <c r="Z24" i="9" a="1"/>
  <c r="CJ36" i="9" a="1"/>
  <c r="AC20" i="9" a="1"/>
  <c r="K1768" i="22"/>
  <c r="R23" i="9" a="1"/>
  <c r="BX26" i="9" a="1"/>
  <c r="BQ33" i="9" a="1"/>
  <c r="CO24" i="9" a="1"/>
  <c r="H20" i="9" a="1"/>
  <c r="J23" i="9" a="1"/>
  <c r="Y33" i="9" a="1"/>
  <c r="BA31" i="9" a="1"/>
  <c r="BY20" i="9" a="1"/>
  <c r="AW32" i="9" a="1"/>
  <c r="K58" i="14"/>
  <c r="CB31" i="9" a="1"/>
  <c r="BM26" i="9" a="1"/>
  <c r="AW30" i="9" a="1"/>
  <c r="G33" i="9" a="1"/>
  <c r="AG25" i="9" a="1"/>
  <c r="BJ24" i="9" a="1"/>
  <c r="AI29" i="9" a="1"/>
  <c r="BU31" i="9" a="1"/>
  <c r="K172" i="14"/>
  <c r="AF22" i="9" a="1"/>
  <c r="T29" i="9" a="1"/>
  <c r="BN20" i="9" a="1"/>
  <c r="F23" i="9" a="1"/>
  <c r="AF24" i="9" a="1"/>
  <c r="U25" i="9" a="1"/>
  <c r="AE30" i="9" a="1"/>
  <c r="M25" i="9" a="1"/>
  <c r="BF29" i="9" a="1"/>
  <c r="BK24" i="9" a="1"/>
  <c r="CP21" i="9" a="1"/>
  <c r="BI26" i="9" a="1"/>
  <c r="K96" i="18"/>
  <c r="L30" i="9" a="1"/>
  <c r="AS30" i="9" a="1"/>
  <c r="R26" i="9" a="1"/>
  <c r="AR23" i="9" a="1"/>
  <c r="AQ38" i="9" a="1"/>
  <c r="AT34" i="9" a="1"/>
  <c r="BI34" i="9" a="1"/>
  <c r="BT23" i="9" a="1"/>
  <c r="CE30" i="9" a="1"/>
  <c r="CL32" i="9" a="1"/>
  <c r="AM33" i="9" a="1"/>
  <c r="BQ23" i="9" a="1"/>
  <c r="CP30" i="9" a="1"/>
  <c r="AR38" i="9" a="1"/>
  <c r="BG39" i="9" a="1"/>
  <c r="AT25" i="9" a="1"/>
  <c r="AB31" i="9" a="1"/>
  <c r="CH20" i="9" a="1"/>
  <c r="U23" i="9" a="1"/>
  <c r="BY22" i="9" a="1"/>
  <c r="K362" i="22"/>
  <c r="K172" i="5"/>
  <c r="CE38" i="9" a="1"/>
  <c r="AZ22" i="9" a="1"/>
  <c r="CM32" i="9" a="1"/>
  <c r="BV21" i="9" a="1"/>
  <c r="BM29" i="9" a="1"/>
  <c r="BN25" i="9" a="1"/>
  <c r="Q33" i="9" a="1"/>
  <c r="CA33" i="9" a="1"/>
  <c r="K1388" i="22"/>
  <c r="R20" i="9" a="1"/>
  <c r="K552" i="14"/>
  <c r="BA23" i="9" a="1"/>
  <c r="CE35" i="9" a="1"/>
  <c r="K20" i="5"/>
  <c r="Q38" i="9" a="1"/>
  <c r="AL22" i="9" a="1"/>
  <c r="CN27" i="9" a="1"/>
  <c r="AZ37" i="9" a="1"/>
  <c r="BK30" i="9" a="1"/>
  <c r="AS29" i="9" a="1"/>
  <c r="CD38" i="9" a="1"/>
  <c r="R34" i="9" a="1"/>
  <c r="O28" i="9" a="1"/>
  <c r="AC30" i="9" a="1"/>
  <c r="BA30" i="9" a="1"/>
  <c r="AJ25" i="9" a="1"/>
  <c r="CH33" i="9" a="1"/>
  <c r="AP20" i="9" a="1"/>
  <c r="BZ39" i="9" a="1"/>
  <c r="AB23" i="9" a="1"/>
  <c r="V37" i="9" a="1"/>
  <c r="AK33" i="9" a="1"/>
  <c r="BO23" i="9" a="1"/>
  <c r="BD22" i="9" a="1"/>
  <c r="AT29" i="9" a="1"/>
  <c r="K172" i="18"/>
  <c r="X34" i="9" a="1"/>
  <c r="BT27" i="9" a="1"/>
  <c r="BX32" i="9" a="1"/>
  <c r="AI34" i="9" a="1"/>
  <c r="BT33" i="9" a="1"/>
  <c r="BE25" i="9" a="1"/>
  <c r="AO21" i="9" a="1"/>
  <c r="BQ32" i="9" a="1"/>
  <c r="K58" i="5"/>
  <c r="K96" i="5"/>
  <c r="T23" i="9" a="1"/>
  <c r="R38" i="9" a="1"/>
  <c r="AN30" i="9" a="1"/>
  <c r="G31" i="9" a="1"/>
  <c r="AF31" i="9" a="1"/>
  <c r="CC32" i="9" a="1"/>
  <c r="AX29" i="9" a="1"/>
  <c r="AX24" i="9" a="1"/>
  <c r="K666" i="22"/>
  <c r="CM31" i="9" a="1"/>
  <c r="K20" i="18"/>
  <c r="AU34" i="9" a="1"/>
  <c r="AK28" i="9" a="1"/>
  <c r="I29" i="9" a="1"/>
  <c r="P22" i="9" a="1"/>
  <c r="K58" i="22"/>
  <c r="K210" i="15"/>
  <c r="O34" i="9" a="1"/>
  <c r="K210" i="22"/>
  <c r="AZ27" i="9" a="1"/>
  <c r="CR39" i="9" a="1"/>
  <c r="AV39" i="9" a="1"/>
  <c r="AJ37" i="9" a="1"/>
  <c r="BE35" i="9" a="1"/>
  <c r="P27" i="9" a="1"/>
  <c r="AY20" i="9" a="1"/>
  <c r="W30" i="9" a="1"/>
  <c r="K134" i="18"/>
  <c r="G21" i="9" a="1"/>
  <c r="V39" i="9" a="1"/>
  <c r="BN29" i="9" a="1"/>
  <c r="CP34" i="9" a="1"/>
  <c r="AK20" i="9" a="1"/>
  <c r="Q20" i="9" a="1"/>
  <c r="BE38" i="9" a="1"/>
  <c r="K34" i="9" a="1"/>
  <c r="P29" i="9" a="1"/>
  <c r="J25" i="9" a="1"/>
  <c r="BA37" i="9" a="1"/>
  <c r="AB35" i="9" a="1"/>
  <c r="W32" i="9" a="1"/>
  <c r="BC34" i="9" a="1"/>
  <c r="BH37" i="9" a="1"/>
  <c r="BX33" i="9" a="1"/>
  <c r="CI30" i="9" a="1"/>
  <c r="AW28" i="9" a="1"/>
  <c r="CL26" i="9" a="1"/>
  <c r="L29" i="9" a="1"/>
  <c r="M34" i="9" a="1"/>
  <c r="BD20" i="9" a="1"/>
  <c r="BX31" i="9" a="1"/>
  <c r="BC37" i="9" a="1"/>
  <c r="F39" i="9" a="1"/>
  <c r="BA33" i="9" a="1"/>
  <c r="CG31" i="9" a="1"/>
  <c r="K400" i="14"/>
  <c r="K1198" i="22"/>
  <c r="AK34" i="9" a="1"/>
  <c r="AC34" i="9" a="1"/>
  <c r="CN35" i="9" a="1"/>
  <c r="N36" i="9" a="1"/>
  <c r="AO28" i="9" a="1"/>
  <c r="E39" i="9" a="1"/>
  <c r="BM33" i="9" a="1"/>
  <c r="CJ38" i="9" a="1"/>
  <c r="BR34" i="9" a="1"/>
  <c r="CH28" i="9" a="1"/>
  <c r="T30" i="9" a="1"/>
  <c r="K96" i="15"/>
  <c r="AF39" i="9" a="1"/>
  <c r="W34" i="9" a="1"/>
  <c r="V34" i="9" a="1"/>
  <c r="AQ20" i="9" a="1"/>
  <c r="N25" i="9" a="1"/>
  <c r="CO25" i="9" a="1"/>
  <c r="AL24" i="9" a="1"/>
  <c r="K96" i="13"/>
  <c r="BQ30" i="9" a="1"/>
  <c r="AB33" i="9" a="1"/>
  <c r="BK32" i="9" a="1"/>
  <c r="BR29" i="9" a="1"/>
  <c r="CM37" i="9" a="1"/>
  <c r="AY38" i="9" a="1"/>
  <c r="BJ38" i="9" a="1"/>
  <c r="I38" i="9" a="1"/>
  <c r="BC33" i="9" a="1"/>
  <c r="AK25" i="9" a="1"/>
  <c r="CF23" i="9" a="1"/>
  <c r="AD22" i="9" a="1"/>
  <c r="AH33" i="9" a="1"/>
  <c r="BF24" i="9" a="1"/>
  <c r="T25" i="9" a="1"/>
  <c r="CE25" i="9" a="1"/>
  <c r="U36" i="9" a="1"/>
  <c r="BE20" i="9" a="1"/>
  <c r="AM25" i="9" a="1"/>
  <c r="AA26" i="9" a="1"/>
  <c r="P21" i="9" a="1"/>
  <c r="CQ38" i="9" a="1"/>
  <c r="F26" i="9" a="1"/>
  <c r="BY26" i="9" a="1"/>
  <c r="Z20" i="9" a="1"/>
  <c r="BF34" i="9" a="1"/>
  <c r="AJ30" i="9" a="1"/>
  <c r="H28" i="9" a="1"/>
  <c r="K20" i="14"/>
  <c r="AJ21" i="9" a="1"/>
  <c r="BM35" i="9" a="1"/>
  <c r="BS29" i="9" a="1"/>
  <c r="V38" i="9" a="1"/>
  <c r="CI24" i="9" a="1"/>
  <c r="AW33" i="9" a="1"/>
  <c r="H25" i="9" a="1"/>
  <c r="K1236" i="22"/>
  <c r="AO39" i="9" a="1"/>
  <c r="T38" i="9" a="1"/>
  <c r="AK32" i="9" a="1"/>
  <c r="CF39" i="9" a="1"/>
  <c r="BQ22" i="9" a="1"/>
  <c r="R33" i="9" a="1"/>
  <c r="K552" i="22"/>
  <c r="BB34" i="9" a="1"/>
  <c r="CP32" i="9" a="1"/>
  <c r="W38" i="9" a="1"/>
  <c r="I36" i="9" a="1"/>
  <c r="AX20" i="9" a="1"/>
  <c r="AH26" i="9" a="1"/>
  <c r="V30" i="9" a="1"/>
  <c r="BX29" i="9" a="1"/>
  <c r="BH20" i="9" a="1"/>
  <c r="BG33" i="9" a="1"/>
  <c r="K24" i="9" a="1"/>
  <c r="U38" i="9" a="1"/>
  <c r="BF20" i="9" a="1"/>
  <c r="BY30" i="9" a="1"/>
  <c r="AC31" i="9" a="1"/>
  <c r="CA20" i="9" a="1"/>
  <c r="CI25" i="9" a="1"/>
  <c r="I25" i="9" a="1"/>
  <c r="E37" i="9" a="1"/>
  <c r="I24" i="9" a="1"/>
  <c r="AY28" i="9" a="1"/>
  <c r="CQ36" i="9" a="1"/>
  <c r="AR37" i="9" a="1"/>
  <c r="BE34" i="9" a="1"/>
  <c r="K1844" i="22"/>
  <c r="BZ37" i="9" a="1"/>
  <c r="M38" i="9" a="1"/>
  <c r="CJ39" i="9" a="1"/>
  <c r="J34" i="9" a="1"/>
  <c r="BC23" i="9" a="1"/>
  <c r="CN20" i="9" a="1"/>
  <c r="BC31" i="9" a="1"/>
  <c r="Q32" i="9" a="1"/>
  <c r="S28" i="9" a="1"/>
  <c r="S20" i="9" a="1"/>
  <c r="AC33" i="9" a="1"/>
  <c r="T34" i="9" a="1"/>
  <c r="F24" i="9" a="1"/>
  <c r="AA36" i="9" a="1"/>
  <c r="CG27" i="9" a="1"/>
  <c r="CF26" i="9" a="1"/>
  <c r="AS33" i="9" a="1"/>
  <c r="Z38" i="9" a="1"/>
  <c r="CM34" i="9" a="1"/>
  <c r="H27" i="9" a="1"/>
  <c r="AI21" i="9" a="1"/>
  <c r="AS22" i="9" a="1"/>
  <c r="CM35" i="9" a="1"/>
  <c r="AF25" i="9" a="1"/>
  <c r="AM20" i="9" a="1"/>
  <c r="K438" i="14"/>
  <c r="BF26" i="9" a="1"/>
  <c r="CM20" i="9" a="1"/>
  <c r="G38" i="9" a="1"/>
  <c r="BG21" i="9" a="1"/>
  <c r="CD24" i="9" a="1"/>
  <c r="K58" i="18"/>
  <c r="Z27" i="9" a="1"/>
  <c r="V28" i="9" a="1"/>
  <c r="AW20" i="9" a="1"/>
  <c r="Y21" i="9" a="1"/>
  <c r="AP34" i="9" a="1"/>
  <c r="CP33" i="9" a="1"/>
  <c r="BC20" i="9" a="1"/>
  <c r="BG31" i="9" a="1"/>
  <c r="AU28" i="9" a="1"/>
  <c r="CB29" i="9" a="1"/>
  <c r="AN23" i="9" a="1"/>
  <c r="AI33" i="9" a="1"/>
  <c r="AF30" i="9" a="1"/>
  <c r="K1008" i="22"/>
  <c r="BQ31" i="9" a="1"/>
  <c r="BH26" i="9" a="1"/>
  <c r="CO34" i="9" a="1"/>
  <c r="CA38" i="9" a="1"/>
  <c r="BZ35" i="9" a="1"/>
  <c r="BT37" i="9" a="1"/>
  <c r="BK23" i="9" a="1"/>
  <c r="K514" i="14"/>
  <c r="AZ26" i="9" a="1"/>
  <c r="CP39" i="9" a="1"/>
  <c r="CK36" i="9" a="1"/>
  <c r="BZ20" i="9" a="1"/>
  <c r="CL35" i="9" a="1"/>
  <c r="K172" i="22"/>
  <c r="Z39" i="9" a="1"/>
  <c r="CI20" i="9" a="1"/>
  <c r="O26" i="9" a="1"/>
  <c r="K476" i="14"/>
  <c r="E29" i="9" a="1"/>
  <c r="AO26" i="9" a="1"/>
  <c r="AY27" i="9" a="1"/>
  <c r="AD27" i="9" a="1"/>
  <c r="CB22" i="9" a="1"/>
  <c r="CF22" i="9" a="1"/>
  <c r="I34" i="9" a="1"/>
  <c r="X35" i="9" a="1"/>
  <c r="E28" i="9" a="1"/>
  <c r="BU21" i="9" a="1"/>
  <c r="K30" i="9" a="1"/>
  <c r="CE26" i="9" a="1"/>
  <c r="BH21" i="9" a="1"/>
  <c r="AR34" i="9" a="1"/>
  <c r="K438" i="22"/>
  <c r="CA37" i="9" a="1"/>
  <c r="K324" i="15"/>
  <c r="BB30" i="9" a="1"/>
  <c r="BP20" i="9" a="1"/>
  <c r="N27" i="9" a="1"/>
  <c r="BM38" i="9" a="1"/>
  <c r="N30" i="9" a="1"/>
  <c r="AW38" i="9" a="1"/>
  <c r="BG25" i="9" a="1"/>
  <c r="CE27" i="9" a="1"/>
  <c r="AA20" i="9" a="1"/>
  <c r="U34" i="9" a="1"/>
  <c r="CN32" i="9" a="1"/>
  <c r="BJ34" i="9" a="1"/>
  <c r="BP24" i="9" a="1"/>
  <c r="BO28" i="9" a="1"/>
  <c r="CO23" i="9" a="1"/>
  <c r="BJ36" i="9" a="1"/>
  <c r="BP38" i="9" a="1"/>
  <c r="CK24" i="9" a="1"/>
  <c r="CF20" i="9" a="1"/>
  <c r="CF33" i="9" a="1"/>
  <c r="BF38" i="9" a="1"/>
  <c r="U32" i="9" a="1"/>
  <c r="J29" i="9" a="1"/>
  <c r="K1540" i="22"/>
  <c r="AV35" i="9" a="1"/>
  <c r="BI37" i="9" a="1"/>
  <c r="AA37" i="9" a="1"/>
  <c r="AM21" i="9" a="1"/>
  <c r="CE36" i="9" a="1"/>
  <c r="T21" i="9" a="1"/>
  <c r="AD29" i="9" a="1"/>
  <c r="Y30" i="9" a="1"/>
  <c r="AE21" i="9" a="1"/>
  <c r="AQ28" i="9" a="1"/>
  <c r="G35" i="9" a="1"/>
  <c r="K628" i="22"/>
  <c r="K704" i="14"/>
  <c r="K22" i="9" a="1"/>
  <c r="V21" i="9" a="1"/>
  <c r="H37" i="9" a="1"/>
  <c r="CP27" i="9" a="1"/>
  <c r="Y36" i="9" a="1"/>
  <c r="BU28" i="9" a="1"/>
  <c r="AM36" i="9" a="1"/>
  <c r="Y26" i="9" a="1"/>
  <c r="G32" i="9" a="1"/>
  <c r="BL36" i="9" a="1"/>
  <c r="AT33" i="9" a="1"/>
  <c r="CH34" i="9" a="1"/>
  <c r="S23" i="9" a="1"/>
  <c r="F33" i="9" a="1"/>
  <c r="AF34" i="9" a="1"/>
  <c r="AE26" i="9" a="1"/>
  <c r="BM37" i="9" a="1"/>
  <c r="AG30" i="9" a="1"/>
  <c r="BJ21" i="9" a="1"/>
  <c r="S36" i="9" a="1"/>
  <c r="CD37" i="9" a="1"/>
  <c r="CK25" i="9" a="1"/>
  <c r="BI29" i="9" a="1"/>
  <c r="P20" i="9" a="1"/>
  <c r="AX31" i="9" a="1"/>
  <c r="U27" i="9" a="1"/>
  <c r="AQ26" i="9" a="1"/>
  <c r="AQ34" i="9" a="1"/>
  <c r="CQ30" i="9" a="1"/>
  <c r="AZ31" i="9" a="1"/>
  <c r="E20" i="9" a="1"/>
  <c r="AZ30" i="9" a="1"/>
  <c r="H21" i="9" a="1"/>
  <c r="CC22" i="9" a="1"/>
  <c r="BP30" i="9" a="1"/>
  <c r="AA33" i="9" a="1"/>
  <c r="AO30" i="9" a="1"/>
  <c r="AL37" i="9" a="1"/>
  <c r="AT20" i="9" a="1"/>
  <c r="BJ26" i="9" a="1"/>
  <c r="AS39" i="9" a="1"/>
  <c r="AY37" i="9" a="1"/>
  <c r="P34" i="9" a="1"/>
  <c r="N33" i="9" a="1"/>
  <c r="N37" i="9" a="1"/>
  <c r="CA25" i="9" a="1"/>
  <c r="BX22" i="9" a="1"/>
  <c r="BS28" i="9" a="1"/>
  <c r="BN34" i="9" a="1"/>
  <c r="CA23" i="9" a="1"/>
  <c r="CO38" i="9" a="1"/>
  <c r="CG38" i="9" a="1"/>
  <c r="AU25" i="9" a="1"/>
  <c r="BR30" i="9" a="1"/>
  <c r="AI26" i="9" a="1"/>
  <c r="BI22" i="9" a="1"/>
  <c r="BZ26" i="9" a="1"/>
  <c r="BG36" i="9" a="1"/>
  <c r="N24" i="9" a="1"/>
  <c r="K514" i="22"/>
  <c r="K20" i="15"/>
  <c r="L33" i="9" a="1"/>
  <c r="AC32" i="9" a="1"/>
  <c r="BY24" i="9" a="1"/>
  <c r="K248" i="14"/>
  <c r="AV20" i="9" a="1"/>
  <c r="K1578" i="22"/>
  <c r="H34" i="9" a="1"/>
  <c r="BM21" i="9" a="1"/>
  <c r="M20" i="9" a="1"/>
  <c r="BQ39" i="9" a="1"/>
  <c r="CB28" i="9" a="1"/>
  <c r="AY26" i="9" a="1"/>
  <c r="CC26" i="9" a="1"/>
  <c r="I30" i="9" a="1"/>
  <c r="CH37" i="9" a="1"/>
  <c r="AG39" i="9" a="1"/>
  <c r="BF25" i="9" a="1"/>
  <c r="AP29" i="9" a="1"/>
  <c r="U21" i="9" a="1"/>
  <c r="BS32" i="9" a="1"/>
  <c r="BY35" i="9" a="1"/>
  <c r="AH22" i="9" a="1"/>
  <c r="M31" i="9" a="1"/>
  <c r="BD32" i="9" a="1"/>
  <c r="K1426" i="22"/>
  <c r="S35" i="9" a="1"/>
  <c r="AY22" i="9" a="1"/>
  <c r="K476" i="22"/>
  <c r="O39" i="9" a="1"/>
  <c r="BV25" i="9" a="1"/>
  <c r="CK29" i="9" a="1"/>
  <c r="BB39" i="9" a="1"/>
  <c r="AL20" i="9" a="1"/>
  <c r="CC37" i="9" a="1"/>
  <c r="CQ25" i="9" a="1"/>
  <c r="CC24" i="9" a="1"/>
  <c r="BM20" i="9" a="1"/>
  <c r="BV37" i="9" a="1"/>
  <c r="E26" i="9" a="1"/>
  <c r="BQ38" i="9" a="1"/>
  <c r="AI27" i="9" a="1"/>
  <c r="BU36" i="9" a="1"/>
  <c r="CJ29" i="9" a="1"/>
  <c r="AO33" i="9" a="1"/>
  <c r="BX34" i="9" a="1"/>
  <c r="BO25" i="9" a="1"/>
  <c r="CM30" i="9" a="1"/>
  <c r="CE29" i="9" a="1"/>
  <c r="BA38" i="9" a="1"/>
  <c r="AL29" i="9" a="1"/>
  <c r="AR33" i="9" a="1"/>
  <c r="AV25" i="9" a="1"/>
  <c r="AY21" i="9" a="1"/>
  <c r="AF20" i="9" a="1"/>
  <c r="K96" i="22"/>
  <c r="K96" i="14"/>
  <c r="CI35" i="9" a="1"/>
  <c r="BR36" i="9" a="1"/>
  <c r="AA35" i="9" a="1"/>
  <c r="AG27" i="9" a="1"/>
  <c r="AX25" i="9" a="1"/>
  <c r="BL33" i="9" a="1"/>
  <c r="CD30" i="9" a="1"/>
  <c r="BE21" i="9" a="1"/>
  <c r="BX28" i="9" a="1"/>
  <c r="CE21" i="9" a="1"/>
  <c r="AU37" i="9" a="1"/>
  <c r="CC29" i="9" a="1"/>
  <c r="AY35" i="9" a="1"/>
  <c r="Y29" i="9" a="1"/>
  <c r="CB37" i="9" a="1"/>
  <c r="BI27" i="9" a="1"/>
  <c r="AG34" i="9" a="1"/>
  <c r="AE29" i="9" a="1"/>
  <c r="BS37" i="9" a="1"/>
  <c r="BA35" i="9" a="1"/>
  <c r="W29" i="9" a="1"/>
  <c r="S27" i="9" a="1"/>
  <c r="BK21" i="9" a="1"/>
  <c r="CK33" i="9" a="1"/>
  <c r="AP37" i="9" a="1"/>
  <c r="BO29" i="9" a="1"/>
  <c r="CN30" i="9" a="1"/>
  <c r="BO26" i="9" a="1"/>
  <c r="CD20" i="9" a="1"/>
  <c r="BL34" i="9" a="1"/>
  <c r="BD33" i="9" a="1"/>
  <c r="CK26" i="9" a="1"/>
  <c r="CG23" i="9" a="1"/>
  <c r="V29" i="9" a="1"/>
  <c r="BZ22" i="9" a="1"/>
  <c r="BR35" i="9" a="1"/>
  <c r="AV28" i="9" a="1"/>
  <c r="BV26" i="9" a="1"/>
  <c r="AL23" i="9" a="1"/>
  <c r="AR32" i="9" a="1"/>
  <c r="CE23" i="9" a="1"/>
  <c r="CI34" i="9" a="1"/>
  <c r="R35" i="9" a="1"/>
  <c r="AU20" i="9" a="1"/>
  <c r="CR38" i="9" a="1"/>
  <c r="H35" i="9" a="1"/>
  <c r="AQ25" i="9" a="1"/>
  <c r="BY37" i="9" a="1"/>
  <c r="CP25" i="9" a="1"/>
  <c r="AI37" i="9" a="1"/>
  <c r="BR25" i="9" a="1"/>
  <c r="U35" i="9" a="1"/>
  <c r="J36" i="9" a="1"/>
  <c r="R21" i="9" a="1"/>
  <c r="BL28" i="9" a="1"/>
  <c r="AS36" i="9" a="1"/>
  <c r="AZ34" i="9" a="1"/>
  <c r="K134" i="14"/>
  <c r="AB37" i="9" a="1"/>
  <c r="CD20" i="9" l="1"/>
  <c r="BX22" i="9"/>
  <c r="AY35" i="9"/>
  <c r="CE21" i="9"/>
  <c r="U27" i="9"/>
  <c r="Q20" i="9"/>
  <c r="H25" i="9"/>
  <c r="N24" i="9"/>
  <c r="BI27" i="9"/>
  <c r="P34" i="9"/>
  <c r="BX28" i="9"/>
  <c r="AX31" i="9"/>
  <c r="AK20" i="9"/>
  <c r="BK23" i="9"/>
  <c r="AW33" i="9"/>
  <c r="BO26" i="9"/>
  <c r="CA25" i="9"/>
  <c r="AY37" i="9"/>
  <c r="AT20" i="9"/>
  <c r="P20" i="9"/>
  <c r="E29" i="9"/>
  <c r="BT37" i="9"/>
  <c r="CI24" i="9"/>
  <c r="BG36" i="9"/>
  <c r="N37" i="9"/>
  <c r="CC29" i="9"/>
  <c r="BE21" i="9"/>
  <c r="BI29" i="9"/>
  <c r="CP34" i="9"/>
  <c r="BZ35" i="9"/>
  <c r="V38" i="9"/>
  <c r="CN30" i="9"/>
  <c r="CB37" i="9"/>
  <c r="AS39" i="9"/>
  <c r="AL37" i="9"/>
  <c r="CK25" i="9"/>
  <c r="AB37" i="9"/>
  <c r="CA38" i="9"/>
  <c r="BS29" i="9"/>
  <c r="BZ26" i="9"/>
  <c r="N33" i="9"/>
  <c r="AU37" i="9"/>
  <c r="CD30" i="9"/>
  <c r="CD37" i="9"/>
  <c r="BN29" i="9"/>
  <c r="CO34" i="9"/>
  <c r="BM35" i="9"/>
  <c r="BO29" i="9"/>
  <c r="Y29" i="9"/>
  <c r="BJ26" i="9"/>
  <c r="BL33" i="9"/>
  <c r="S36" i="9"/>
  <c r="V39" i="9"/>
  <c r="BH26" i="9"/>
  <c r="AJ21" i="9"/>
  <c r="BI22" i="9"/>
  <c r="K14" i="22"/>
  <c r="AO30" i="9"/>
  <c r="BJ21" i="9"/>
  <c r="K14" i="5"/>
  <c r="BQ31" i="9"/>
  <c r="AP37" i="9"/>
  <c r="CA33" i="9"/>
  <c r="CH21" i="9"/>
  <c r="AA33" i="9"/>
  <c r="AG30" i="9"/>
  <c r="CE35" i="9"/>
  <c r="H28" i="9"/>
  <c r="AI26" i="9"/>
  <c r="Q33" i="9"/>
  <c r="AG38" i="9"/>
  <c r="AX25" i="9"/>
  <c r="BM37" i="9"/>
  <c r="G21" i="9"/>
  <c r="AF30" i="9"/>
  <c r="AJ30" i="9"/>
  <c r="BN25" i="9"/>
  <c r="BW35" i="9"/>
  <c r="BP30" i="9"/>
  <c r="AE26" i="9"/>
  <c r="BA23" i="9"/>
  <c r="AI33" i="9"/>
  <c r="BF34" i="9"/>
  <c r="CK33" i="9"/>
  <c r="BM29" i="9"/>
  <c r="CN38" i="9"/>
  <c r="AG27" i="9"/>
  <c r="AF34" i="9"/>
  <c r="AN23" i="9"/>
  <c r="Z20" i="9"/>
  <c r="BR30" i="9"/>
  <c r="BV21" i="9"/>
  <c r="BJ30" i="9"/>
  <c r="CC22" i="9"/>
  <c r="F33" i="9"/>
  <c r="CK38" i="9"/>
  <c r="CB29" i="9"/>
  <c r="BY26" i="9"/>
  <c r="BD28" i="9"/>
  <c r="CM32" i="9"/>
  <c r="AU30" i="9"/>
  <c r="AA35" i="9"/>
  <c r="S23" i="9"/>
  <c r="K14" i="15"/>
  <c r="AU28" i="9"/>
  <c r="F26" i="9"/>
  <c r="BK21" i="9"/>
  <c r="AZ22" i="9"/>
  <c r="H21" i="9"/>
  <c r="CH34" i="9"/>
  <c r="AD33" i="9"/>
  <c r="BG31" i="9"/>
  <c r="CQ38" i="9"/>
  <c r="AU25" i="9"/>
  <c r="CE38" i="9"/>
  <c r="AR30" i="9"/>
  <c r="BR36" i="9"/>
  <c r="AT33" i="9"/>
  <c r="K23" i="9"/>
  <c r="BC20" i="9"/>
  <c r="P21" i="9"/>
  <c r="S27" i="9"/>
  <c r="BF33" i="9"/>
  <c r="AZ30" i="9"/>
  <c r="BL36" i="9"/>
  <c r="BE30" i="9"/>
  <c r="CP33" i="9"/>
  <c r="AA26" i="9"/>
  <c r="AB38" i="9"/>
  <c r="BK20" i="9"/>
  <c r="CI35" i="9"/>
  <c r="G32" i="9"/>
  <c r="W33" i="9"/>
  <c r="AP34" i="9"/>
  <c r="AM25" i="9"/>
  <c r="CG38" i="9"/>
  <c r="DC21" i="19" s="1"/>
  <c r="BY22" i="9"/>
  <c r="AV22" i="9"/>
  <c r="E20" i="9"/>
  <c r="Y26" i="9"/>
  <c r="BT29" i="9"/>
  <c r="Y21" i="9"/>
  <c r="BE20" i="9"/>
  <c r="W29" i="9"/>
  <c r="U23" i="9"/>
  <c r="M39" i="9"/>
  <c r="AZ31" i="9"/>
  <c r="AM36" i="9"/>
  <c r="AW20" i="9"/>
  <c r="U36" i="9"/>
  <c r="BA35" i="9"/>
  <c r="CH20" i="9"/>
  <c r="AD38" i="9"/>
  <c r="CQ30" i="9"/>
  <c r="BU28" i="9"/>
  <c r="Q26" i="9"/>
  <c r="V28" i="9"/>
  <c r="CE25" i="9"/>
  <c r="CO38" i="9"/>
  <c r="AB31" i="9"/>
  <c r="AN39" i="9"/>
  <c r="AQ34" i="9"/>
  <c r="Y36" i="9"/>
  <c r="R33" i="9"/>
  <c r="Z27" i="9"/>
  <c r="T25" i="9"/>
  <c r="CA23" i="9"/>
  <c r="AT25" i="9"/>
  <c r="CA21" i="9"/>
  <c r="AQ26" i="9"/>
  <c r="CP27" i="9"/>
  <c r="BQ22" i="9"/>
  <c r="BF24" i="9"/>
  <c r="BS37" i="9"/>
  <c r="BG39" i="9"/>
  <c r="BI32" i="9"/>
  <c r="H37" i="9"/>
  <c r="F20" i="9"/>
  <c r="CD24" i="9"/>
  <c r="AH33" i="9"/>
  <c r="BN34" i="9"/>
  <c r="AR38" i="9"/>
  <c r="BU25" i="9"/>
  <c r="V21" i="9"/>
  <c r="CF39" i="9"/>
  <c r="BG21" i="9"/>
  <c r="AD22" i="9"/>
  <c r="AK38" i="9"/>
  <c r="CP30" i="9"/>
  <c r="L38" i="9"/>
  <c r="AF20" i="9"/>
  <c r="K22" i="9"/>
  <c r="G38" i="9"/>
  <c r="CF23" i="9"/>
  <c r="AE29" i="9"/>
  <c r="BQ23" i="9"/>
  <c r="AR35" i="9"/>
  <c r="AY21" i="9"/>
  <c r="CR33" i="9"/>
  <c r="CM20" i="9"/>
  <c r="AK25" i="9"/>
  <c r="BS28" i="9"/>
  <c r="AM33" i="9"/>
  <c r="BV30" i="9"/>
  <c r="T36" i="9"/>
  <c r="AV25" i="9"/>
  <c r="AK32" i="9"/>
  <c r="BF26" i="9"/>
  <c r="BC33" i="9"/>
  <c r="AG34" i="9"/>
  <c r="CL32" i="9"/>
  <c r="CL25" i="9"/>
  <c r="BB21" i="9"/>
  <c r="AR33" i="9"/>
  <c r="G35" i="9"/>
  <c r="AZ34" i="9"/>
  <c r="I38" i="9"/>
  <c r="BK33" i="9"/>
  <c r="CE30" i="9"/>
  <c r="CR23" i="9"/>
  <c r="AL29" i="9"/>
  <c r="AQ28" i="9"/>
  <c r="O26" i="9"/>
  <c r="AM20" i="9"/>
  <c r="BJ38" i="9"/>
  <c r="O34" i="9"/>
  <c r="BT23" i="9"/>
  <c r="BS23" i="9"/>
  <c r="BA38" i="9"/>
  <c r="AE21" i="9"/>
  <c r="T38" i="9"/>
  <c r="AF25" i="9"/>
  <c r="L34" i="9"/>
  <c r="AY38" i="9"/>
  <c r="BI34" i="9"/>
  <c r="AG20" i="9"/>
  <c r="CE29" i="9"/>
  <c r="Y30" i="9"/>
  <c r="AS36" i="9"/>
  <c r="V25" i="9"/>
  <c r="CM35" i="9"/>
  <c r="CM37" i="9"/>
  <c r="AT34" i="9"/>
  <c r="X20" i="9"/>
  <c r="CM30" i="9"/>
  <c r="AD29" i="9"/>
  <c r="AD26" i="9"/>
  <c r="CI20" i="9"/>
  <c r="AS22" i="9"/>
  <c r="BR29" i="9"/>
  <c r="P22" i="9"/>
  <c r="AQ38" i="9"/>
  <c r="AO25" i="9"/>
  <c r="BO25" i="9"/>
  <c r="CA36" i="9"/>
  <c r="T21" i="9"/>
  <c r="BL28" i="9"/>
  <c r="AI21" i="9"/>
  <c r="BK32" i="9"/>
  <c r="I29" i="9"/>
  <c r="AR23" i="9"/>
  <c r="BB37" i="9"/>
  <c r="K35" i="9"/>
  <c r="BX34" i="9"/>
  <c r="CE36" i="9"/>
  <c r="R21" i="9"/>
  <c r="H27" i="9"/>
  <c r="AB33" i="9"/>
  <c r="AK28" i="9"/>
  <c r="R26" i="9"/>
  <c r="AK23" i="9"/>
  <c r="AO33" i="9"/>
  <c r="AM21" i="9"/>
  <c r="J36" i="9"/>
  <c r="CM34" i="9"/>
  <c r="BQ30" i="9"/>
  <c r="AU34" i="9"/>
  <c r="AS30" i="9"/>
  <c r="L20" i="9"/>
  <c r="CJ29" i="9"/>
  <c r="AA37" i="9"/>
  <c r="Z38" i="9"/>
  <c r="AQ29" i="9"/>
  <c r="K14" i="18"/>
  <c r="L30" i="9"/>
  <c r="BR38" i="9"/>
  <c r="BU36" i="9"/>
  <c r="BI37" i="9"/>
  <c r="AO39" i="9"/>
  <c r="AS33" i="9"/>
  <c r="CI27" i="9"/>
  <c r="AL24" i="9"/>
  <c r="CM31" i="9"/>
  <c r="Y25" i="9"/>
  <c r="AI27" i="9"/>
  <c r="AV35" i="9"/>
  <c r="U35" i="9"/>
  <c r="E24" i="9"/>
  <c r="CF26" i="9"/>
  <c r="CO25" i="9"/>
  <c r="BI26" i="9"/>
  <c r="N20" i="9"/>
  <c r="BQ38" i="9"/>
  <c r="N29" i="9"/>
  <c r="W30" i="9"/>
  <c r="CG27" i="9"/>
  <c r="DC10" i="19" s="1"/>
  <c r="N25" i="9"/>
  <c r="AX24" i="9"/>
  <c r="CP21" i="9"/>
  <c r="CR31" i="9"/>
  <c r="E26" i="9"/>
  <c r="Y28" i="9"/>
  <c r="J29" i="9"/>
  <c r="Z39" i="9"/>
  <c r="AA36" i="9"/>
  <c r="AQ20" i="9"/>
  <c r="AX29" i="9"/>
  <c r="BK24" i="9"/>
  <c r="BL25" i="9"/>
  <c r="BN38" i="9"/>
  <c r="BV37" i="9"/>
  <c r="U32" i="9"/>
  <c r="BR25" i="9"/>
  <c r="F24" i="9"/>
  <c r="V34" i="9"/>
  <c r="CC32" i="9"/>
  <c r="BF29" i="9"/>
  <c r="BQ20" i="9"/>
  <c r="CN26" i="9"/>
  <c r="BM20" i="9"/>
  <c r="BF38" i="9"/>
  <c r="AY20" i="9"/>
  <c r="T34" i="9"/>
  <c r="W34" i="9"/>
  <c r="AF31" i="9"/>
  <c r="Y34" i="9"/>
  <c r="M25" i="9"/>
  <c r="BO34" i="9"/>
  <c r="CC24" i="9"/>
  <c r="CF33" i="9"/>
  <c r="AC33" i="9"/>
  <c r="AF39" i="9"/>
  <c r="AL21" i="9"/>
  <c r="G31" i="9"/>
  <c r="AE30" i="9"/>
  <c r="BW39" i="9"/>
  <c r="CQ25" i="9"/>
  <c r="CF20" i="9"/>
  <c r="AI37" i="9"/>
  <c r="S20" i="9"/>
  <c r="BG34" i="9"/>
  <c r="AN30" i="9"/>
  <c r="U25" i="9"/>
  <c r="BV32" i="9"/>
  <c r="CC37" i="9"/>
  <c r="CK24" i="9"/>
  <c r="P27" i="9"/>
  <c r="BE32" i="9"/>
  <c r="S28" i="9"/>
  <c r="T30" i="9"/>
  <c r="R38" i="9"/>
  <c r="AF24" i="9"/>
  <c r="BZ38" i="9"/>
  <c r="AL20" i="9"/>
  <c r="BP38" i="9"/>
  <c r="BI39" i="9"/>
  <c r="CP25" i="9"/>
  <c r="Q32" i="9"/>
  <c r="CH28" i="9"/>
  <c r="T23" i="9"/>
  <c r="F23" i="9"/>
  <c r="G39" i="9"/>
  <c r="BB39" i="9"/>
  <c r="CI22" i="9"/>
  <c r="BJ36" i="9"/>
  <c r="BE35" i="9"/>
  <c r="BC31" i="9"/>
  <c r="BR34" i="9"/>
  <c r="BN20" i="9"/>
  <c r="CC30" i="9"/>
  <c r="CK29" i="9"/>
  <c r="CO23" i="9"/>
  <c r="AJ37" i="9"/>
  <c r="CN20" i="9"/>
  <c r="CJ38" i="9"/>
  <c r="T29" i="9"/>
  <c r="CQ33" i="9"/>
  <c r="AC35" i="9"/>
  <c r="BV25" i="9"/>
  <c r="BO28" i="9"/>
  <c r="BY37" i="9"/>
  <c r="BC23" i="9"/>
  <c r="BM33" i="9"/>
  <c r="BQ32" i="9"/>
  <c r="J31" i="9"/>
  <c r="AF22" i="9"/>
  <c r="T26" i="9"/>
  <c r="O39" i="9"/>
  <c r="BP24" i="9"/>
  <c r="AV39" i="9"/>
  <c r="J34" i="9"/>
  <c r="E39" i="9"/>
  <c r="BI20" i="9"/>
  <c r="AO21" i="9"/>
  <c r="AG37" i="9"/>
  <c r="BJ34" i="9"/>
  <c r="AQ25" i="9"/>
  <c r="CJ39" i="9"/>
  <c r="CN34" i="9"/>
  <c r="AO28" i="9"/>
  <c r="BE25" i="9"/>
  <c r="BU31" i="9"/>
  <c r="L21" i="9"/>
  <c r="AY22" i="9"/>
  <c r="CN32" i="9"/>
  <c r="H35" i="9"/>
  <c r="CD29" i="9"/>
  <c r="M38" i="9"/>
  <c r="N36" i="9"/>
  <c r="BT33" i="9"/>
  <c r="AI29" i="9"/>
  <c r="AE28" i="9"/>
  <c r="S35" i="9"/>
  <c r="U34" i="9"/>
  <c r="N34" i="9"/>
  <c r="CR39" i="9"/>
  <c r="BZ37" i="9"/>
  <c r="CN35" i="9"/>
  <c r="AI34" i="9"/>
  <c r="BJ24" i="9"/>
  <c r="AM29" i="9"/>
  <c r="M26" i="9"/>
  <c r="AA20" i="9"/>
  <c r="CR38" i="9"/>
  <c r="AC34" i="9"/>
  <c r="BX32" i="9"/>
  <c r="AG25" i="9"/>
  <c r="R25" i="9"/>
  <c r="S38" i="9"/>
  <c r="BD32" i="9"/>
  <c r="CE27" i="9"/>
  <c r="AU20" i="9"/>
  <c r="BE34" i="9"/>
  <c r="AK34" i="9"/>
  <c r="BT27" i="9"/>
  <c r="G33" i="9"/>
  <c r="AM23" i="9"/>
  <c r="AB30" i="9"/>
  <c r="M31" i="9"/>
  <c r="BG25" i="9"/>
  <c r="R20" i="9"/>
  <c r="AR37" i="9"/>
  <c r="X34" i="9"/>
  <c r="CL20" i="9"/>
  <c r="AW30" i="9"/>
  <c r="CQ29" i="9"/>
  <c r="AH22" i="9"/>
  <c r="AW38" i="9"/>
  <c r="R35" i="9"/>
  <c r="CQ36" i="9"/>
  <c r="O31" i="9"/>
  <c r="BM26" i="9"/>
  <c r="AB27" i="9"/>
  <c r="BY35" i="9"/>
  <c r="N30" i="9"/>
  <c r="CI34" i="9"/>
  <c r="AY28" i="9"/>
  <c r="X25" i="9"/>
  <c r="CG31" i="9"/>
  <c r="DC14" i="19" s="1"/>
  <c r="AT29" i="9"/>
  <c r="CB31" i="9"/>
  <c r="BR26" i="9"/>
  <c r="BS32" i="9"/>
  <c r="BM38" i="9"/>
  <c r="CE23" i="9"/>
  <c r="CC25" i="9"/>
  <c r="I24" i="9"/>
  <c r="BA33" i="9"/>
  <c r="BD22" i="9"/>
  <c r="AE34" i="9"/>
  <c r="U21" i="9"/>
  <c r="N27" i="9"/>
  <c r="BC26" i="9"/>
  <c r="AR32" i="9"/>
  <c r="E37" i="9"/>
  <c r="F39" i="9"/>
  <c r="BO23" i="9"/>
  <c r="AW32" i="9"/>
  <c r="AP29" i="9"/>
  <c r="U20" i="9"/>
  <c r="BP20" i="9"/>
  <c r="AZ27" i="9"/>
  <c r="I25" i="9"/>
  <c r="BC37" i="9"/>
  <c r="AK33" i="9"/>
  <c r="BY20" i="9"/>
  <c r="E38" i="9"/>
  <c r="BX20" i="9"/>
  <c r="BF25" i="9"/>
  <c r="BB30" i="9"/>
  <c r="AL23" i="9"/>
  <c r="CI25" i="9"/>
  <c r="BX31" i="9"/>
  <c r="V37" i="9"/>
  <c r="BA31" i="9"/>
  <c r="AU33" i="9"/>
  <c r="AB26" i="9"/>
  <c r="AG39" i="9"/>
  <c r="BV26" i="9"/>
  <c r="CA20" i="9"/>
  <c r="BD20" i="9"/>
  <c r="AB23" i="9"/>
  <c r="Y33" i="9"/>
  <c r="BI21" i="9"/>
  <c r="AZ20" i="9"/>
  <c r="CH37" i="9"/>
  <c r="CA37" i="9"/>
  <c r="AV28" i="9"/>
  <c r="X37" i="9"/>
  <c r="AC31" i="9"/>
  <c r="M34" i="9"/>
  <c r="BZ39" i="9"/>
  <c r="CJ25" i="9"/>
  <c r="J23" i="9"/>
  <c r="AT38" i="9"/>
  <c r="I30" i="9"/>
  <c r="T22" i="9"/>
  <c r="BR35" i="9"/>
  <c r="BL20" i="9"/>
  <c r="BY30" i="9"/>
  <c r="L29" i="9"/>
  <c r="AP20" i="9"/>
  <c r="BY27" i="9"/>
  <c r="H20" i="9"/>
  <c r="BO21" i="9"/>
  <c r="BC27" i="9"/>
  <c r="W37" i="9"/>
  <c r="CC26" i="9"/>
  <c r="AR34" i="9"/>
  <c r="BZ22" i="9"/>
  <c r="BW29" i="9"/>
  <c r="BF20" i="9"/>
  <c r="CL26" i="9"/>
  <c r="J37" i="9"/>
  <c r="AL36" i="9"/>
  <c r="CH33" i="9"/>
  <c r="CO24" i="9"/>
  <c r="CJ34" i="9"/>
  <c r="AH31" i="9"/>
  <c r="AY26" i="9"/>
  <c r="CK31" i="9"/>
  <c r="BH21" i="9"/>
  <c r="V29" i="9"/>
  <c r="U38" i="9"/>
  <c r="L36" i="9"/>
  <c r="AQ33" i="9"/>
  <c r="AW28" i="9"/>
  <c r="AK30" i="9"/>
  <c r="AQ31" i="9"/>
  <c r="AJ25" i="9"/>
  <c r="BQ33" i="9"/>
  <c r="CF37" i="9"/>
  <c r="AB24" i="9"/>
  <c r="H33" i="9"/>
  <c r="CC31" i="9"/>
  <c r="CH25" i="9"/>
  <c r="CB28" i="9"/>
  <c r="BF21" i="9"/>
  <c r="CE26" i="9"/>
  <c r="AD20" i="9"/>
  <c r="CQ37" i="9"/>
  <c r="CG23" i="9"/>
  <c r="DC6" i="19" s="1"/>
  <c r="CQ20" i="9"/>
  <c r="AB29" i="9"/>
  <c r="K24" i="9"/>
  <c r="CG35" i="9"/>
  <c r="DC18" i="19" s="1"/>
  <c r="CI30" i="9"/>
  <c r="BS30" i="9"/>
  <c r="AX35" i="9"/>
  <c r="BA30" i="9"/>
  <c r="CF28" i="9"/>
  <c r="CH31" i="9"/>
  <c r="BX26" i="9"/>
  <c r="K32" i="9"/>
  <c r="BC35" i="9"/>
  <c r="AO23" i="9"/>
  <c r="AW36" i="9"/>
  <c r="BQ39" i="9"/>
  <c r="AS31" i="9"/>
  <c r="Y37" i="9"/>
  <c r="K30" i="9"/>
  <c r="CA29" i="9"/>
  <c r="CK26" i="9"/>
  <c r="CD21" i="9"/>
  <c r="BG33" i="9"/>
  <c r="T37" i="9"/>
  <c r="BZ28" i="9"/>
  <c r="BX33" i="9"/>
  <c r="AF36" i="9"/>
  <c r="AC30" i="9"/>
  <c r="T35" i="9"/>
  <c r="U37" i="9"/>
  <c r="R23" i="9"/>
  <c r="AN32" i="9"/>
  <c r="BC39" i="9"/>
  <c r="BP21" i="9"/>
  <c r="AA21" i="9"/>
  <c r="M20" i="9"/>
  <c r="AN33" i="9"/>
  <c r="S22" i="9"/>
  <c r="AG33" i="9"/>
  <c r="AO38" i="9"/>
  <c r="BU21" i="9"/>
  <c r="BL27" i="9"/>
  <c r="AA34" i="9"/>
  <c r="BH32" i="9"/>
  <c r="BC25" i="9"/>
  <c r="CA32" i="9"/>
  <c r="AE37" i="9"/>
  <c r="BD33" i="9"/>
  <c r="AC36" i="9"/>
  <c r="Y27" i="9"/>
  <c r="BL37" i="9"/>
  <c r="BE29" i="9"/>
  <c r="BC32" i="9"/>
  <c r="I37" i="9"/>
  <c r="BH29" i="9"/>
  <c r="BH20" i="9"/>
  <c r="BS26" i="9"/>
  <c r="CE20" i="9"/>
  <c r="CJ21" i="9"/>
  <c r="CR20" i="9"/>
  <c r="K37" i="9"/>
  <c r="S34" i="9"/>
  <c r="BH35" i="9"/>
  <c r="BH37" i="9"/>
  <c r="AR36" i="9"/>
  <c r="AW34" i="9"/>
  <c r="T20" i="9"/>
  <c r="F21" i="9"/>
  <c r="BA20" i="9"/>
  <c r="F38" i="9"/>
  <c r="V24" i="9"/>
  <c r="O28" i="9"/>
  <c r="CB25" i="9"/>
  <c r="AV23" i="9"/>
  <c r="BZ33" i="9"/>
  <c r="BG26" i="9"/>
  <c r="X21" i="9"/>
  <c r="AP25" i="9"/>
  <c r="AM38" i="9"/>
  <c r="N26" i="9"/>
  <c r="AR21" i="9"/>
  <c r="BC22" i="9"/>
  <c r="AF37" i="9"/>
  <c r="AO20" i="9"/>
  <c r="BA34" i="9"/>
  <c r="CF29" i="9"/>
  <c r="AH29" i="9"/>
  <c r="CG25" i="9"/>
  <c r="DC8" i="19" s="1"/>
  <c r="CC38" i="9"/>
  <c r="AP24" i="9"/>
  <c r="E34" i="9"/>
  <c r="BP27" i="9"/>
  <c r="V32" i="9"/>
  <c r="BM21" i="9"/>
  <c r="CK37" i="9"/>
  <c r="BR28" i="9"/>
  <c r="BZ25" i="9"/>
  <c r="BA26" i="9"/>
  <c r="AC26" i="9"/>
  <c r="CK23" i="9"/>
  <c r="AH34" i="9"/>
  <c r="E28" i="9"/>
  <c r="AZ33" i="9"/>
  <c r="G20" i="9"/>
  <c r="BU30" i="9"/>
  <c r="CI21" i="9"/>
  <c r="CO29" i="9"/>
  <c r="CQ32" i="9"/>
  <c r="BL34" i="9"/>
  <c r="BE31" i="9"/>
  <c r="BF30" i="9"/>
  <c r="BQ26" i="9"/>
  <c r="AB34" i="9"/>
  <c r="BE36" i="9"/>
  <c r="AK21" i="9"/>
  <c r="BG24" i="9"/>
  <c r="BX29" i="9"/>
  <c r="BJ32" i="9"/>
  <c r="BD36" i="9"/>
  <c r="CR21" i="9"/>
  <c r="BP26" i="9"/>
  <c r="BS20" i="9"/>
  <c r="AB28" i="9"/>
  <c r="BC34" i="9"/>
  <c r="BN24" i="9"/>
  <c r="BD25" i="9"/>
  <c r="Q22" i="9"/>
  <c r="Q29" i="9"/>
  <c r="BF31" i="9"/>
  <c r="AJ26" i="9"/>
  <c r="CI28" i="9"/>
  <c r="R34" i="9"/>
  <c r="CG37" i="9"/>
  <c r="DC20" i="19" s="1"/>
  <c r="AE25" i="9"/>
  <c r="AI39" i="9"/>
  <c r="CI33" i="9"/>
  <c r="BA36" i="9"/>
  <c r="AQ37" i="9"/>
  <c r="AC20" i="9"/>
  <c r="BQ34" i="9"/>
  <c r="BO20" i="9"/>
  <c r="BN30" i="9"/>
  <c r="CE34" i="9"/>
  <c r="BU29" i="9"/>
  <c r="BM30" i="9"/>
  <c r="AJ29" i="9"/>
  <c r="CC34" i="9"/>
  <c r="AE33" i="9"/>
  <c r="O37" i="9"/>
  <c r="T32" i="9"/>
  <c r="BS33" i="9"/>
  <c r="CG22" i="9"/>
  <c r="DC5" i="19" s="1"/>
  <c r="H34" i="9"/>
  <c r="W39" i="9"/>
  <c r="CN25" i="9"/>
  <c r="AN37" i="9"/>
  <c r="K20" i="9"/>
  <c r="CO33" i="9"/>
  <c r="BU33" i="9"/>
  <c r="X35" i="9"/>
  <c r="BV20" i="9"/>
  <c r="BH30" i="9"/>
  <c r="U39" i="9"/>
  <c r="CF25" i="9"/>
  <c r="AS26" i="9"/>
  <c r="AY25" i="9"/>
  <c r="BJ31" i="9"/>
  <c r="P30" i="9"/>
  <c r="BC29" i="9"/>
  <c r="BT36" i="9"/>
  <c r="AX38" i="9"/>
  <c r="L23" i="9"/>
  <c r="BY33" i="9"/>
  <c r="V30" i="9"/>
  <c r="J20" i="9"/>
  <c r="BZ21" i="9"/>
  <c r="AR20" i="9"/>
  <c r="BG38" i="9"/>
  <c r="BO37" i="9"/>
  <c r="BY36" i="9"/>
  <c r="BJ33" i="9"/>
  <c r="W32" i="9"/>
  <c r="BH33" i="9"/>
  <c r="BJ20" i="9"/>
  <c r="BB25" i="9"/>
  <c r="AB25" i="9"/>
  <c r="AI20" i="9"/>
  <c r="BO22" i="9"/>
  <c r="CD38" i="9"/>
  <c r="BU20" i="9"/>
  <c r="BP37" i="9"/>
  <c r="AD30" i="9"/>
  <c r="AS20" i="9"/>
  <c r="AC25" i="9"/>
  <c r="CL30" i="9"/>
  <c r="CJ36" i="9"/>
  <c r="AC21" i="9"/>
  <c r="AE31" i="9"/>
  <c r="CB38" i="9"/>
  <c r="BH22" i="9"/>
  <c r="AT39" i="9"/>
  <c r="AW27" i="9"/>
  <c r="AY33" i="9"/>
  <c r="CC28" i="9"/>
  <c r="BR21" i="9"/>
  <c r="AV33" i="9"/>
  <c r="CL29" i="9"/>
  <c r="BQ37" i="9"/>
  <c r="AL34" i="9"/>
  <c r="W20" i="9"/>
  <c r="BB29" i="9"/>
  <c r="K26" i="9"/>
  <c r="BW34" i="9"/>
  <c r="AA22" i="9"/>
  <c r="L39" i="9"/>
  <c r="BW38" i="9"/>
  <c r="AM22" i="9"/>
  <c r="I34" i="9"/>
  <c r="AM28" i="9"/>
  <c r="CP22" i="9"/>
  <c r="Q24" i="9"/>
  <c r="BW21" i="9"/>
  <c r="BR20" i="9"/>
  <c r="CJ23" i="9"/>
  <c r="BE27" i="9"/>
  <c r="Z25" i="9"/>
  <c r="BT26" i="9"/>
  <c r="AT21" i="9"/>
  <c r="I33" i="9"/>
  <c r="BW26" i="9"/>
  <c r="AP30" i="9"/>
  <c r="BM31" i="9"/>
  <c r="AH26" i="9"/>
  <c r="M24" i="9"/>
  <c r="BH27" i="9"/>
  <c r="CD22" i="9"/>
  <c r="CL28" i="9"/>
  <c r="Z35" i="9"/>
  <c r="BZ23" i="9"/>
  <c r="M32" i="9"/>
  <c r="AB35" i="9"/>
  <c r="AA27" i="9"/>
  <c r="M21" i="9"/>
  <c r="U30" i="9"/>
  <c r="AD35" i="9"/>
  <c r="R39" i="9"/>
  <c r="V20" i="9"/>
  <c r="AS29" i="9"/>
  <c r="CM25" i="9"/>
  <c r="S37" i="9"/>
  <c r="BU26" i="9"/>
  <c r="O20" i="9"/>
  <c r="S21" i="9"/>
  <c r="BP33" i="9"/>
  <c r="X31" i="9"/>
  <c r="Z24" i="9"/>
  <c r="AL27" i="9"/>
  <c r="CI37" i="9"/>
  <c r="CQ23" i="9"/>
  <c r="AJ20" i="9"/>
  <c r="AD25" i="9"/>
  <c r="M29" i="9"/>
  <c r="AO34" i="9"/>
  <c r="AV24" i="9"/>
  <c r="BV34" i="9"/>
  <c r="AD34" i="9"/>
  <c r="BL29" i="9"/>
  <c r="CM26" i="9"/>
  <c r="CQ34" i="9"/>
  <c r="AH20" i="9"/>
  <c r="BX38" i="9"/>
  <c r="BP29" i="9"/>
  <c r="AV20" i="9"/>
  <c r="CK20" i="9"/>
  <c r="AW37" i="9"/>
  <c r="CP20" i="9"/>
  <c r="AB21" i="9"/>
  <c r="K25" i="9"/>
  <c r="AQ24" i="9"/>
  <c r="CI38" i="9"/>
  <c r="I23" i="9"/>
  <c r="AC29" i="9"/>
  <c r="CF22" i="9"/>
  <c r="CD26" i="9"/>
  <c r="CA28" i="9"/>
  <c r="BK37" i="9"/>
  <c r="AI38" i="9"/>
  <c r="CE32" i="9"/>
  <c r="BK25" i="9"/>
  <c r="CR25" i="9"/>
  <c r="CO26" i="9"/>
  <c r="AH25" i="9"/>
  <c r="F30" i="9"/>
  <c r="CL35" i="9"/>
  <c r="S30" i="9"/>
  <c r="F25" i="9"/>
  <c r="W28" i="9"/>
  <c r="BZ34" i="9"/>
  <c r="AH39" i="9"/>
  <c r="CB33" i="9"/>
  <c r="K28" i="9"/>
  <c r="Q34" i="9"/>
  <c r="AN20" i="9"/>
  <c r="N21" i="9"/>
  <c r="AX20" i="9"/>
  <c r="BX37" i="9"/>
  <c r="R29" i="9"/>
  <c r="CC39" i="9"/>
  <c r="M23" i="9"/>
  <c r="AY29" i="9"/>
  <c r="CD36" i="9"/>
  <c r="AS21" i="9"/>
  <c r="BA37" i="9"/>
  <c r="CM21" i="9"/>
  <c r="BP22" i="9"/>
  <c r="BS38" i="9"/>
  <c r="CO32" i="9"/>
  <c r="AL26" i="9"/>
  <c r="BT28" i="9"/>
  <c r="AU38" i="9"/>
  <c r="CP36" i="9"/>
  <c r="CC33" i="9"/>
  <c r="BK30" i="9"/>
  <c r="CC20" i="9"/>
  <c r="E21" i="9"/>
  <c r="BG20" i="9"/>
  <c r="AJ38" i="9"/>
  <c r="BL23" i="9"/>
  <c r="CQ24" i="9"/>
  <c r="K33" i="9"/>
  <c r="AB20" i="9"/>
  <c r="AZ35" i="9"/>
  <c r="BK29" i="9"/>
  <c r="CB20" i="9"/>
  <c r="AR25" i="9"/>
  <c r="BQ21" i="9"/>
  <c r="N38" i="9"/>
  <c r="CJ20" i="9"/>
  <c r="BC38" i="9"/>
  <c r="CO20" i="9"/>
  <c r="E33" i="9"/>
  <c r="G30" i="9"/>
  <c r="AX21" i="9"/>
  <c r="AQ27" i="9"/>
  <c r="X30" i="9"/>
  <c r="BM39" i="9"/>
  <c r="BS21" i="9"/>
  <c r="AV26" i="9"/>
  <c r="Y38" i="9"/>
  <c r="AJ28" i="9"/>
  <c r="BM27" i="9"/>
  <c r="I21" i="9"/>
  <c r="CM29" i="9"/>
  <c r="AX30" i="9"/>
  <c r="BO38" i="9"/>
  <c r="BG29" i="9"/>
  <c r="AY34" i="9"/>
  <c r="BW20" i="9"/>
  <c r="BV29" i="9"/>
  <c r="BT20" i="9"/>
  <c r="H26" i="9"/>
  <c r="AH38" i="9"/>
  <c r="CB22" i="9"/>
  <c r="AI22" i="9"/>
  <c r="CL27" i="9"/>
  <c r="CF38" i="9"/>
  <c r="BG32" i="9"/>
  <c r="BY34" i="9"/>
  <c r="AT37" i="9"/>
  <c r="CA30" i="9"/>
  <c r="AZ21" i="9"/>
  <c r="P25" i="9"/>
  <c r="CH39" i="9"/>
  <c r="BZ20" i="9"/>
  <c r="AL30" i="9"/>
  <c r="AL25" i="9"/>
  <c r="BE26" i="9"/>
  <c r="BN21" i="9"/>
  <c r="S33" i="9"/>
  <c r="BO30" i="9"/>
  <c r="CK32" i="9"/>
  <c r="CA39" i="9"/>
  <c r="E27" i="9"/>
  <c r="AP36" i="9"/>
  <c r="CQ39" i="9"/>
  <c r="BU27" i="9"/>
  <c r="I36" i="9"/>
  <c r="J24" i="9"/>
  <c r="CA31" i="9"/>
  <c r="AF26" i="9"/>
  <c r="F32" i="9"/>
  <c r="BX39" i="9"/>
  <c r="V27" i="9"/>
  <c r="AF32" i="9"/>
  <c r="AU29" i="9"/>
  <c r="CI29" i="9"/>
  <c r="O23" i="9"/>
  <c r="J25" i="9"/>
  <c r="BJ28" i="9"/>
  <c r="AK37" i="9"/>
  <c r="BV36" i="9"/>
  <c r="BI38" i="9"/>
  <c r="BV31" i="9"/>
  <c r="BZ30" i="9"/>
  <c r="CD33" i="9"/>
  <c r="CI36" i="9"/>
  <c r="BK38" i="9"/>
  <c r="O33" i="9"/>
  <c r="AQ30" i="9"/>
  <c r="AZ37" i="9"/>
  <c r="G37" i="9"/>
  <c r="Q25" i="9"/>
  <c r="Q37" i="9"/>
  <c r="K21" i="9"/>
  <c r="CJ33" i="9"/>
  <c r="BH31" i="9"/>
  <c r="AQ39" i="9"/>
  <c r="BO27" i="9"/>
  <c r="CH36" i="9"/>
  <c r="AA24" i="9"/>
  <c r="BW27" i="9"/>
  <c r="E36" i="9"/>
  <c r="AG24" i="9"/>
  <c r="AO31" i="9"/>
  <c r="BB26" i="9"/>
  <c r="AA32" i="9"/>
  <c r="CO39" i="9"/>
  <c r="BG23" i="9"/>
  <c r="CM38" i="9"/>
  <c r="I26" i="9"/>
  <c r="BD30" i="9"/>
  <c r="CI39" i="9"/>
  <c r="AX33" i="9"/>
  <c r="S29" i="9"/>
  <c r="CD25" i="9"/>
  <c r="Z34" i="9"/>
  <c r="BA25" i="9"/>
  <c r="F34" i="9"/>
  <c r="V31" i="9"/>
  <c r="CO22" i="9"/>
  <c r="AK27" i="9"/>
  <c r="Z36" i="9"/>
  <c r="Y23" i="9"/>
  <c r="N32" i="9"/>
  <c r="CG34" i="9"/>
  <c r="DC17" i="19" s="1"/>
  <c r="BA28" i="9"/>
  <c r="AW22" i="9"/>
  <c r="BY24" i="9"/>
  <c r="CO30" i="9"/>
  <c r="AD23" i="9"/>
  <c r="BG37" i="9"/>
  <c r="AS24" i="9"/>
  <c r="CN37" i="9"/>
  <c r="P24" i="9"/>
  <c r="BC28" i="9"/>
  <c r="AV31" i="9"/>
  <c r="BR24" i="9"/>
  <c r="AP31" i="9"/>
  <c r="CD39" i="9"/>
  <c r="AD27" i="9"/>
  <c r="CK35" i="9"/>
  <c r="AS23" i="9"/>
  <c r="AJ31" i="9"/>
  <c r="AW26" i="9"/>
  <c r="CP38" i="9"/>
  <c r="CL31" i="9"/>
  <c r="BL30" i="9"/>
  <c r="AB36" i="9"/>
  <c r="E30" i="9"/>
  <c r="BH36" i="9"/>
  <c r="AX22" i="9"/>
  <c r="AL28" i="9"/>
  <c r="CK36" i="9"/>
  <c r="L24" i="9"/>
  <c r="CB32" i="9"/>
  <c r="BR39" i="9"/>
  <c r="Q28" i="9"/>
  <c r="O35" i="9"/>
  <c r="AA28" i="9"/>
  <c r="BF35" i="9"/>
  <c r="AA25" i="9"/>
  <c r="AS28" i="9"/>
  <c r="AP38" i="9"/>
  <c r="AL31" i="9"/>
  <c r="W38" i="9"/>
  <c r="CF27" i="9"/>
  <c r="J35" i="9"/>
  <c r="BB23" i="9"/>
  <c r="Y31" i="9"/>
  <c r="P26" i="9"/>
  <c r="M27" i="9"/>
  <c r="CM22" i="9"/>
  <c r="BH23" i="9"/>
  <c r="M36" i="9"/>
  <c r="CG21" i="9"/>
  <c r="DC4" i="19" s="1"/>
  <c r="BY32" i="9"/>
  <c r="BR33" i="9"/>
  <c r="CG24" i="9"/>
  <c r="DC7" i="19" s="1"/>
  <c r="P29" i="9"/>
  <c r="BD24" i="9"/>
  <c r="AV29" i="9"/>
  <c r="BX24" i="9"/>
  <c r="W36" i="9"/>
  <c r="AE39" i="9"/>
  <c r="AL32" i="9"/>
  <c r="BU39" i="9"/>
  <c r="Z28" i="9"/>
  <c r="BJ35" i="9"/>
  <c r="BU24" i="9"/>
  <c r="BY31" i="9"/>
  <c r="AA39" i="9"/>
  <c r="CN27" i="9"/>
  <c r="AH30" i="9"/>
  <c r="Y39" i="9"/>
  <c r="AH37" i="9"/>
  <c r="CM23" i="9"/>
  <c r="BN37" i="9"/>
  <c r="BS25" i="9"/>
  <c r="BX27" i="9"/>
  <c r="BY21" i="9"/>
  <c r="BB27" i="9"/>
  <c r="H38" i="9"/>
  <c r="AP23" i="9"/>
  <c r="AM34" i="9"/>
  <c r="CK22" i="9"/>
  <c r="BW30" i="9"/>
  <c r="CC36" i="9"/>
  <c r="AZ25" i="9"/>
  <c r="CO21" i="9"/>
  <c r="P38" i="9"/>
  <c r="BD34" i="9"/>
  <c r="AV38" i="9"/>
  <c r="CK34" i="9"/>
  <c r="BM36" i="9"/>
  <c r="BH24" i="9"/>
  <c r="BL32" i="9"/>
  <c r="P39" i="9"/>
  <c r="AR28" i="9"/>
  <c r="AI35" i="9"/>
  <c r="CE28" i="9"/>
  <c r="CD35" i="9"/>
  <c r="G24" i="9"/>
  <c r="F31" i="9"/>
  <c r="H30" i="9"/>
  <c r="I20" i="9"/>
  <c r="F22" i="9"/>
  <c r="BJ22" i="9"/>
  <c r="X27" i="9"/>
  <c r="AI30" i="9"/>
  <c r="CI31" i="9"/>
  <c r="BG22" i="9"/>
  <c r="AC32" i="9"/>
  <c r="BE37" i="9"/>
  <c r="AB32" i="9"/>
  <c r="AZ28" i="9"/>
  <c r="CF35" i="9"/>
  <c r="CJ28" i="9"/>
  <c r="AA31" i="9"/>
  <c r="BW24" i="9"/>
  <c r="CO27" i="9"/>
  <c r="BP39" i="9"/>
  <c r="BJ27" i="9"/>
  <c r="AG35" i="9"/>
  <c r="BY23" i="9"/>
  <c r="AQ21" i="9"/>
  <c r="X24" i="9"/>
  <c r="G34" i="9"/>
  <c r="AY27" i="9"/>
  <c r="BS34" i="9"/>
  <c r="R27" i="9"/>
  <c r="AC23" i="9"/>
  <c r="AV32" i="9"/>
  <c r="AG26" i="9"/>
  <c r="CJ32" i="9"/>
  <c r="U22" i="9"/>
  <c r="BW28" i="9"/>
  <c r="AT36" i="9"/>
  <c r="CM24" i="9"/>
  <c r="AJ32" i="9"/>
  <c r="BK39" i="9"/>
  <c r="AR29" i="9"/>
  <c r="V36" i="9"/>
  <c r="O21" i="9"/>
  <c r="CP39" i="9"/>
  <c r="AU21" i="9"/>
  <c r="AM35" i="9"/>
  <c r="CR35" i="9"/>
  <c r="AY23" i="9"/>
  <c r="AP35" i="9"/>
  <c r="CI23" i="9"/>
  <c r="AD31" i="9"/>
  <c r="U26" i="9"/>
  <c r="AS27" i="9"/>
  <c r="AJ22" i="9"/>
  <c r="AE23" i="9"/>
  <c r="BI36" i="9"/>
  <c r="BJ37" i="9"/>
  <c r="K27" i="9"/>
  <c r="BJ29" i="9"/>
  <c r="CP32" i="9"/>
  <c r="AG29" i="9"/>
  <c r="BP32" i="9"/>
  <c r="X36" i="9"/>
  <c r="T24" i="9"/>
  <c r="BC36" i="9"/>
  <c r="AB39" i="9"/>
  <c r="AQ32" i="9"/>
  <c r="BG35" i="9"/>
  <c r="BF28" i="9"/>
  <c r="CQ35" i="9"/>
  <c r="AZ24" i="9"/>
  <c r="R31" i="9"/>
  <c r="CF34" i="9"/>
  <c r="AP28" i="9"/>
  <c r="CQ26" i="9"/>
  <c r="O27" i="9"/>
  <c r="AR26" i="9"/>
  <c r="CA27" i="9"/>
  <c r="W31" i="9"/>
  <c r="L25" i="9"/>
  <c r="AU27" i="9"/>
  <c r="CN21" i="9"/>
  <c r="AA23" i="9"/>
  <c r="AN38" i="9"/>
  <c r="BV23" i="9"/>
  <c r="K34" i="9"/>
  <c r="AC22" i="9"/>
  <c r="AS25" i="9"/>
  <c r="AH21" i="9"/>
  <c r="AN21" i="9"/>
  <c r="BU38" i="9"/>
  <c r="BT21" i="9"/>
  <c r="CD34" i="9"/>
  <c r="BT22" i="9"/>
  <c r="CQ28" i="9"/>
  <c r="F36" i="9"/>
  <c r="R24" i="9"/>
  <c r="CH32" i="9"/>
  <c r="AU39" i="9"/>
  <c r="M28" i="9"/>
  <c r="L35" i="9"/>
  <c r="AK24" i="9"/>
  <c r="AN31" i="9"/>
  <c r="CJ37" i="9"/>
  <c r="AJ33" i="9"/>
  <c r="U29" i="9"/>
  <c r="BX25" i="9"/>
  <c r="CH29" i="9"/>
  <c r="AP21" i="9"/>
  <c r="BT31" i="9"/>
  <c r="CG33" i="9"/>
  <c r="DC16" i="19" s="1"/>
  <c r="BB31" i="9"/>
  <c r="AG22" i="9"/>
  <c r="AP27" i="9"/>
  <c r="AE36" i="9"/>
  <c r="BE23" i="9"/>
  <c r="AT32" i="9"/>
  <c r="AL22" i="9"/>
  <c r="X28" i="9"/>
  <c r="F29" i="9"/>
  <c r="Y20" i="9"/>
  <c r="BX30" i="9"/>
  <c r="AE20" i="9"/>
  <c r="F37" i="9"/>
  <c r="CK30" i="9"/>
  <c r="CA35" i="9"/>
  <c r="BH25" i="9"/>
  <c r="P32" i="9"/>
  <c r="X38" i="9"/>
  <c r="BQ35" i="9"/>
  <c r="BD38" i="9"/>
  <c r="BV35" i="9"/>
  <c r="AT27" i="9"/>
  <c r="CL36" i="9"/>
  <c r="BI23" i="9"/>
  <c r="Y32" i="9"/>
  <c r="BW22" i="9"/>
  <c r="CO28" i="9"/>
  <c r="BA22" i="9"/>
  <c r="U24" i="9"/>
  <c r="BZ36" i="9"/>
  <c r="AE24" i="9"/>
  <c r="BN33" i="9"/>
  <c r="BI31" i="9"/>
  <c r="E25" i="9"/>
  <c r="I32" i="9"/>
  <c r="BQ25" i="9"/>
  <c r="J32" i="9"/>
  <c r="BV24" i="9"/>
  <c r="N31" i="9"/>
  <c r="AK39" i="9"/>
  <c r="AC27" i="9"/>
  <c r="AF35" i="9"/>
  <c r="Q23" i="9"/>
  <c r="BO31" i="9"/>
  <c r="AP26" i="9"/>
  <c r="CQ31" i="9"/>
  <c r="CH26" i="9"/>
  <c r="AN26" i="9"/>
  <c r="Q35" i="9"/>
  <c r="CL33" i="9"/>
  <c r="AU22" i="9"/>
  <c r="BV33" i="9"/>
  <c r="BL22" i="9"/>
  <c r="BF22" i="9"/>
  <c r="BV28" i="9"/>
  <c r="Q36" i="9"/>
  <c r="CF24" i="9"/>
  <c r="X32" i="9"/>
  <c r="BS39" i="9"/>
  <c r="BW32" i="9"/>
  <c r="AJ35" i="9"/>
  <c r="CM28" i="9"/>
  <c r="BL31" i="9"/>
  <c r="AX34" i="9"/>
  <c r="G36" i="9"/>
  <c r="BT30" i="9"/>
  <c r="AU35" i="9"/>
  <c r="M30" i="9"/>
  <c r="BT35" i="9"/>
  <c r="BU35" i="9"/>
  <c r="CG36" i="9"/>
  <c r="DC19" i="19" s="1"/>
  <c r="CJ31" i="9"/>
  <c r="AD21" i="9"/>
  <c r="BG27" i="9"/>
  <c r="AF21" i="9"/>
  <c r="CN23" i="9"/>
  <c r="BT38" i="9"/>
  <c r="CG28" i="9"/>
  <c r="DC11" i="19" s="1"/>
  <c r="BY29" i="9"/>
  <c r="AI25" i="9"/>
  <c r="Q21" i="9"/>
  <c r="BV38" i="9"/>
  <c r="CC21" i="9"/>
  <c r="AE38" i="9"/>
  <c r="CP26" i="9"/>
  <c r="AG28" i="9"/>
  <c r="M22" i="9"/>
  <c r="AI28" i="9"/>
  <c r="K36" i="9"/>
  <c r="W24" i="9"/>
  <c r="Z32" i="9"/>
  <c r="J39" i="9"/>
  <c r="BY28" i="9"/>
  <c r="BX35" i="9"/>
  <c r="AO37" i="9"/>
  <c r="M33" i="9"/>
  <c r="BW33" i="9"/>
  <c r="X29" i="9"/>
  <c r="P33" i="9"/>
  <c r="BD29" i="9"/>
  <c r="P35" i="9"/>
  <c r="BX23" i="9"/>
  <c r="AY31" i="9"/>
  <c r="CG39" i="9"/>
  <c r="DC22" i="19" s="1"/>
  <c r="W27" i="9"/>
  <c r="AN36" i="9"/>
  <c r="BV27" i="9"/>
  <c r="BK36" i="9"/>
  <c r="CL23" i="9"/>
  <c r="BZ32" i="9"/>
  <c r="BK34" i="9"/>
  <c r="BY39" i="9"/>
  <c r="G26" i="9"/>
  <c r="G22" i="9"/>
  <c r="CA26" i="9"/>
  <c r="L22" i="9"/>
  <c r="CF32" i="9"/>
  <c r="AX39" i="9"/>
  <c r="U28" i="9"/>
  <c r="BD35" i="9"/>
  <c r="CB24" i="9"/>
  <c r="AM31" i="9"/>
  <c r="BO39" i="9"/>
  <c r="BK27" i="9"/>
  <c r="AW39" i="9"/>
  <c r="CQ27" i="9"/>
  <c r="Z29" i="9"/>
  <c r="BO33" i="9"/>
  <c r="CO31" i="9"/>
  <c r="BQ29" i="9"/>
  <c r="AR22" i="9"/>
  <c r="AC37" i="9"/>
  <c r="BD23" i="9"/>
  <c r="CR37" i="9"/>
  <c r="BE39" i="9"/>
  <c r="AK29" i="9"/>
  <c r="BN22" i="9"/>
  <c r="G29" i="9"/>
  <c r="X22" i="9"/>
  <c r="CN28" i="9"/>
  <c r="BD31" i="9"/>
  <c r="O24" i="9"/>
  <c r="AT31" i="9"/>
  <c r="CM39" i="9"/>
  <c r="AH27" i="9"/>
  <c r="E35" i="9"/>
  <c r="AW23" i="9"/>
  <c r="AR31" i="9"/>
  <c r="S26" i="9"/>
  <c r="AY30" i="9"/>
  <c r="S32" i="9"/>
  <c r="CN22" i="9"/>
  <c r="CN31" i="9"/>
  <c r="CL37" i="9"/>
  <c r="BP31" i="9"/>
  <c r="CG30" i="9"/>
  <c r="DC13" i="19" s="1"/>
  <c r="AG32" i="9"/>
  <c r="AK26" i="9"/>
  <c r="BE28" i="9"/>
  <c r="Y22" i="9"/>
  <c r="AC24" i="9"/>
  <c r="R36" i="9"/>
  <c r="AI24" i="9"/>
  <c r="BM32" i="9"/>
  <c r="BN39" i="9"/>
  <c r="AA38" i="9"/>
  <c r="CB26" i="9"/>
  <c r="CL34" i="9"/>
  <c r="AO24" i="9"/>
  <c r="BG30" i="9"/>
  <c r="AD24" i="9"/>
  <c r="CL39" i="9"/>
  <c r="G23" i="9"/>
  <c r="N35" i="9"/>
  <c r="BJ25" i="9"/>
  <c r="CP31" i="9"/>
  <c r="CQ21" i="9"/>
  <c r="Q27" i="9"/>
  <c r="BL21" i="9"/>
  <c r="BP23" i="9"/>
  <c r="L33" i="9"/>
  <c r="AZ29" i="9"/>
  <c r="AW25" i="9"/>
  <c r="W21" i="9"/>
  <c r="O25" i="9"/>
  <c r="BC21" i="9"/>
  <c r="CH30" i="9"/>
  <c r="BU32" i="9"/>
  <c r="BR22" i="9"/>
  <c r="L28" i="9"/>
  <c r="AZ36" i="9"/>
  <c r="BQ24" i="9"/>
  <c r="AQ36" i="9"/>
  <c r="BC24" i="9"/>
  <c r="BF32" i="9"/>
  <c r="AP39" i="9"/>
  <c r="BK26" i="9"/>
  <c r="BR37" i="9"/>
  <c r="CO37" i="9"/>
  <c r="BZ29" i="9"/>
  <c r="V33" i="9"/>
  <c r="AW29" i="9"/>
  <c r="BV39" i="9"/>
  <c r="BA27" i="9"/>
  <c r="CB35" i="9"/>
  <c r="AU23" i="9"/>
  <c r="BK31" i="9"/>
  <c r="J22" i="9"/>
  <c r="CJ27" i="9"/>
  <c r="AG36" i="9"/>
  <c r="X23" i="9"/>
  <c r="CR36" i="9"/>
  <c r="AZ38" i="9"/>
  <c r="H24" i="9"/>
  <c r="AM30" i="9"/>
  <c r="BQ27" i="9"/>
  <c r="J30" i="9"/>
  <c r="J27" i="9"/>
  <c r="O36" i="9"/>
  <c r="CN24" i="9"/>
  <c r="AD32" i="9"/>
  <c r="AZ39" i="9"/>
  <c r="R28" i="9"/>
  <c r="CC35" i="9"/>
  <c r="BE24" i="9"/>
  <c r="E31" i="9"/>
  <c r="CE39" i="9"/>
  <c r="AF27" i="9"/>
  <c r="BI25" i="9"/>
  <c r="CA22" i="9"/>
  <c r="AV21" i="9"/>
  <c r="AU24" i="9"/>
  <c r="CB21" i="9"/>
  <c r="CA24" i="9"/>
  <c r="AE27" i="9"/>
  <c r="E22" i="9"/>
  <c r="BZ27" i="9"/>
  <c r="AD36" i="9"/>
  <c r="BN23" i="9"/>
  <c r="R32" i="9"/>
  <c r="AT22" i="9"/>
  <c r="BI28" i="9"/>
  <c r="CH22" i="9"/>
  <c r="CH24" i="9"/>
  <c r="AO26" i="9"/>
  <c r="AC38" i="9"/>
  <c r="CF30" i="9"/>
  <c r="AA29" i="9"/>
  <c r="AP32" i="9"/>
  <c r="AD37" i="9"/>
  <c r="BB20" i="9"/>
  <c r="AL38" i="9"/>
  <c r="BW25" i="9"/>
  <c r="AD39" i="9"/>
  <c r="CJ30" i="9"/>
  <c r="BL26" i="9"/>
  <c r="AX26" i="9"/>
  <c r="BR32" i="9"/>
  <c r="N28" i="9"/>
  <c r="BN35" i="9"/>
  <c r="CA34" i="9"/>
  <c r="BM22" i="9"/>
  <c r="W26" i="9"/>
  <c r="T39" i="9"/>
  <c r="CR26" i="9"/>
  <c r="N39" i="9"/>
  <c r="AG23" i="9"/>
  <c r="AH36" i="9"/>
  <c r="J26" i="9"/>
  <c r="L32" i="9"/>
  <c r="CE22" i="9"/>
  <c r="BQ28" i="9"/>
  <c r="BE22" i="9"/>
  <c r="CP24" i="9"/>
  <c r="AX36" i="9"/>
  <c r="BO24" i="9"/>
  <c r="BP25" i="9"/>
  <c r="L31" i="9"/>
  <c r="AF38" i="9"/>
  <c r="Z22" i="9"/>
  <c r="BL38" i="9"/>
  <c r="I22" i="9"/>
  <c r="AT24" i="9"/>
  <c r="CD31" i="9"/>
  <c r="I39" i="9"/>
  <c r="F27" i="9"/>
  <c r="BP35" i="9"/>
  <c r="CH23" i="9"/>
  <c r="K31" i="9"/>
  <c r="G25" i="9"/>
  <c r="BN31" i="9"/>
  <c r="J33" i="9"/>
  <c r="AO29" i="9"/>
  <c r="CN29" i="9"/>
  <c r="AN25" i="9"/>
  <c r="AF29" i="9"/>
  <c r="BT25" i="9"/>
  <c r="O30" i="9"/>
  <c r="BB36" i="9"/>
  <c r="AU26" i="9"/>
  <c r="AZ32" i="9"/>
  <c r="BK22" i="9"/>
  <c r="P28" i="9"/>
  <c r="BP36" i="9"/>
  <c r="AN24" i="9"/>
  <c r="BW36" i="9"/>
  <c r="CJ24" i="9"/>
  <c r="CR30" i="9"/>
  <c r="AZ26" i="9"/>
  <c r="R37" i="9"/>
  <c r="Z33" i="9"/>
  <c r="AX37" i="9"/>
  <c r="CM33" i="9"/>
  <c r="BS24" i="9"/>
  <c r="BR31" i="9"/>
  <c r="BL39" i="9"/>
  <c r="CH27" i="9"/>
  <c r="CP35" i="9"/>
  <c r="BU23" i="9"/>
  <c r="Q31" i="9"/>
  <c r="BV22" i="9"/>
  <c r="BD27" i="9"/>
  <c r="CO36" i="9"/>
  <c r="BX21" i="9"/>
  <c r="AO32" i="9"/>
  <c r="AN34" i="9"/>
  <c r="BI35" i="9"/>
  <c r="BT34" i="9"/>
  <c r="H31" i="9"/>
  <c r="H36" i="9"/>
  <c r="Y24" i="9"/>
  <c r="AU36" i="9"/>
  <c r="CN39" i="9"/>
  <c r="AI32" i="9"/>
  <c r="W35" i="9"/>
  <c r="AX28" i="9"/>
  <c r="V35" i="9"/>
  <c r="AJ24" i="9"/>
  <c r="AK31" i="9"/>
  <c r="CP29" i="9"/>
  <c r="AF23" i="9"/>
  <c r="AG21" i="9"/>
  <c r="AM32" i="9"/>
  <c r="J21" i="9"/>
  <c r="BH28" i="9"/>
  <c r="BS31" i="9"/>
  <c r="AQ22" i="9"/>
  <c r="CR27" i="9"/>
  <c r="AK22" i="9"/>
  <c r="BW23" i="9"/>
  <c r="AI36" i="9"/>
  <c r="CG32" i="9"/>
  <c r="DC15" i="19" s="1"/>
  <c r="AX32" i="9"/>
  <c r="O22" i="9"/>
  <c r="AF28" i="9"/>
  <c r="BU37" i="9"/>
  <c r="BI24" i="9"/>
  <c r="CE33" i="9"/>
  <c r="CB27" i="9"/>
  <c r="X33" i="9"/>
  <c r="CC27" i="9"/>
  <c r="AC28" i="9"/>
  <c r="CO35" i="9"/>
  <c r="BA24" i="9"/>
  <c r="AI31" i="9"/>
  <c r="S39" i="9"/>
  <c r="G27" i="9"/>
  <c r="BT39" i="9"/>
  <c r="BN27" i="9"/>
  <c r="AK35" i="9"/>
  <c r="CC23" i="9"/>
  <c r="CP37" i="9"/>
  <c r="BB34" i="9"/>
  <c r="BA21" i="9"/>
  <c r="CR29" i="9"/>
  <c r="CK39" i="9"/>
  <c r="AM37" i="9"/>
  <c r="AS37" i="9"/>
  <c r="AN22" i="9"/>
  <c r="BD37" i="9"/>
  <c r="L27" i="9"/>
  <c r="AJ34" i="9"/>
  <c r="T28" i="9"/>
  <c r="BI30" i="9"/>
  <c r="AW35" i="9"/>
  <c r="M35" i="9"/>
  <c r="AT23" i="9"/>
  <c r="BY25" i="9"/>
  <c r="X39" i="9"/>
  <c r="BD21" i="9"/>
  <c r="V23" i="9"/>
  <c r="CK21" i="9"/>
  <c r="CG29" i="9"/>
  <c r="DC12" i="19" s="1"/>
  <c r="BK28" i="9"/>
  <c r="T31" i="9"/>
  <c r="BZ24" i="9"/>
  <c r="AR27" i="9"/>
  <c r="AL39" i="9"/>
  <c r="P23" i="9"/>
  <c r="AN35" i="9"/>
  <c r="Z23" i="9"/>
  <c r="BW31" i="9"/>
  <c r="BR27" i="9"/>
  <c r="L37" i="9"/>
  <c r="BE33" i="9"/>
  <c r="BA29" i="9"/>
  <c r="AP33" i="9"/>
  <c r="O29" i="9"/>
  <c r="AS38" i="9"/>
  <c r="AE22" i="9"/>
  <c r="BH34" i="9"/>
  <c r="AJ36" i="9"/>
  <c r="AV30" i="9"/>
  <c r="CN36" i="9"/>
  <c r="L26" i="9"/>
  <c r="O32" i="9"/>
  <c r="H22" i="9"/>
  <c r="AD28" i="9"/>
  <c r="BP34" i="9"/>
  <c r="Q30" i="9"/>
  <c r="AT26" i="9"/>
  <c r="BW37" i="9"/>
  <c r="X26" i="9"/>
  <c r="P37" i="9"/>
  <c r="BT24" i="9"/>
  <c r="CE31" i="9"/>
  <c r="AM39" i="9"/>
  <c r="T27" i="9"/>
  <c r="AE35" i="9"/>
  <c r="CM27" i="9"/>
  <c r="AH35" i="9"/>
  <c r="N23" i="9"/>
  <c r="AW31" i="9"/>
  <c r="AB22" i="9"/>
  <c r="CL21" i="9"/>
  <c r="CQ22" i="9"/>
  <c r="BE38" i="9"/>
  <c r="AM24" i="9"/>
  <c r="CL38" i="9"/>
  <c r="AY39" i="9"/>
  <c r="BS22" i="9"/>
  <c r="AH28" i="9"/>
  <c r="CF36" i="9"/>
  <c r="CL24" i="9"/>
  <c r="H32" i="9"/>
  <c r="BJ39" i="9"/>
  <c r="BO32" i="9"/>
  <c r="BS35" i="9"/>
  <c r="CD28" i="9"/>
  <c r="BB35" i="9"/>
  <c r="T33" i="9"/>
  <c r="P31" i="9"/>
  <c r="BM25" i="9"/>
  <c r="P36" i="9"/>
  <c r="W25" i="9"/>
  <c r="AK36" i="9"/>
  <c r="F35" i="9"/>
  <c r="AX23" i="9"/>
  <c r="U31" i="9"/>
  <c r="N22" i="9"/>
  <c r="I27" i="9"/>
  <c r="AV36" i="9"/>
  <c r="AZ23" i="9"/>
  <c r="BO36" i="9"/>
  <c r="CG26" i="9"/>
  <c r="DC9" i="19" s="1"/>
  <c r="CD32" i="9"/>
  <c r="CJ26" i="9"/>
  <c r="AS32" i="9"/>
  <c r="U33" i="9"/>
  <c r="AO35" i="9"/>
  <c r="BB33" i="9"/>
  <c r="AT35" i="9"/>
  <c r="AH32" i="9"/>
  <c r="BF39" i="9"/>
  <c r="CP28" i="9"/>
  <c r="BL35" i="9"/>
  <c r="BM24" i="9"/>
  <c r="AU31" i="9"/>
  <c r="K39" i="9"/>
  <c r="BS27" i="9"/>
  <c r="BA39" i="9"/>
  <c r="H23" i="9"/>
  <c r="BH38" i="9"/>
  <c r="BF27" i="9"/>
  <c r="BC30" i="9"/>
  <c r="CK28" i="9"/>
  <c r="Z30" i="9"/>
  <c r="G28" i="9"/>
  <c r="AX27" i="9"/>
  <c r="AO22" i="9"/>
  <c r="BM23" i="9"/>
  <c r="BN36" i="9"/>
  <c r="V26" i="9"/>
  <c r="BB32" i="9"/>
  <c r="BB22" i="9"/>
  <c r="AN28" i="9"/>
  <c r="CL22" i="9"/>
  <c r="BL24" i="9"/>
  <c r="AV37" i="9"/>
  <c r="Q38" i="9"/>
  <c r="BG28" i="9"/>
  <c r="BI33" i="9"/>
  <c r="CB36" i="9"/>
  <c r="AS34" i="9"/>
  <c r="BH39" i="9"/>
  <c r="BN26" i="9"/>
  <c r="CH38" i="9"/>
  <c r="AW24" i="9"/>
  <c r="CJ35" i="9"/>
  <c r="M37" i="9"/>
  <c r="AJ23" i="9"/>
  <c r="CN33" i="9"/>
  <c r="CE37" i="9"/>
  <c r="AF33" i="9"/>
  <c r="BB38" i="9"/>
  <c r="E23" i="9"/>
  <c r="BY38" i="9"/>
  <c r="CR22" i="9"/>
  <c r="BM34" i="9"/>
  <c r="BX36" i="9"/>
  <c r="CB30" i="9"/>
  <c r="BA32" i="9"/>
  <c r="BD26" i="9"/>
  <c r="AU32" i="9"/>
  <c r="K38" i="9"/>
  <c r="CR34" i="9"/>
  <c r="BU34" i="9"/>
  <c r="AM26" i="9"/>
  <c r="AA30" i="9"/>
  <c r="Z26" i="9"/>
  <c r="AE32" i="9"/>
  <c r="CB39" i="9"/>
  <c r="AT28" i="9"/>
  <c r="AS35" i="9"/>
  <c r="AH24" i="9"/>
  <c r="AG31" i="9"/>
  <c r="AC39" i="9"/>
  <c r="CK27" i="9"/>
  <c r="BO35" i="9"/>
  <c r="AI23" i="9"/>
  <c r="S25" i="9"/>
  <c r="AT30" i="9"/>
  <c r="J38" i="9"/>
  <c r="CR32" i="9"/>
  <c r="O38" i="9"/>
  <c r="BM28" i="9"/>
  <c r="BJ23" i="9"/>
  <c r="AY32" i="9"/>
  <c r="AP22" i="9"/>
  <c r="BN28" i="9"/>
  <c r="BQ36" i="9"/>
  <c r="BB24" i="9"/>
  <c r="BT32" i="9"/>
  <c r="Q39" i="9"/>
  <c r="I28" i="9"/>
  <c r="AQ35" i="9"/>
  <c r="AL33" i="9"/>
  <c r="AJ39" i="9"/>
  <c r="H29" i="9"/>
  <c r="CP23" i="9"/>
  <c r="AN29" i="9"/>
  <c r="AH23" i="9"/>
  <c r="BK35" i="9"/>
  <c r="AQ23" i="9"/>
  <c r="AL35" i="9"/>
  <c r="CD23" i="9"/>
  <c r="Z31" i="9"/>
  <c r="R22" i="9"/>
  <c r="AO27" i="9"/>
  <c r="AO36" i="9"/>
  <c r="W23" i="9"/>
  <c r="E32" i="9"/>
  <c r="R30" i="9"/>
  <c r="CJ22" i="9"/>
  <c r="Z37" i="9"/>
  <c r="S24" i="9"/>
  <c r="BF37" i="9"/>
  <c r="AY24" i="9"/>
  <c r="AY36" i="9"/>
  <c r="CR24" i="9"/>
  <c r="BN32" i="9"/>
  <c r="BD39" i="9"/>
  <c r="BB28" i="9"/>
  <c r="CH35" i="9"/>
  <c r="AR24" i="9"/>
  <c r="I31" i="9"/>
  <c r="H39" i="9"/>
  <c r="AN27" i="9"/>
  <c r="CF21" i="9"/>
  <c r="S31" i="9"/>
  <c r="AV34" i="9"/>
  <c r="BF36" i="9"/>
  <c r="CB34" i="9"/>
  <c r="CM36" i="9"/>
  <c r="AM27" i="9"/>
  <c r="V22" i="9"/>
  <c r="CD27" i="9"/>
  <c r="BU22" i="9"/>
  <c r="BR23" i="9"/>
  <c r="BS36" i="9"/>
  <c r="CI26" i="9"/>
  <c r="CI32" i="9"/>
  <c r="W22" i="9"/>
  <c r="J28" i="9"/>
  <c r="K29" i="9"/>
  <c r="F28" i="9"/>
  <c r="AW21" i="9"/>
  <c r="BZ31" i="9"/>
  <c r="Z21" i="9"/>
  <c r="AJ27" i="9"/>
  <c r="BP28" i="9"/>
  <c r="Y35" i="9"/>
  <c r="CR28" i="9"/>
  <c r="CF31" i="9"/>
  <c r="CE24" i="9"/>
  <c r="AV27" i="9"/>
  <c r="AR39" i="9"/>
  <c r="CB23" i="9"/>
  <c r="I35" i="9"/>
  <c r="BF23"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P8" i="9"/>
  <c r="L10" i="9"/>
  <c r="L9" i="9"/>
  <c r="P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I324" i="14"/>
  <c r="CJ55" i="9"/>
  <c r="BQ55" i="9"/>
  <c r="F666" i="14"/>
  <c r="I514" i="14"/>
  <c r="H172" i="14"/>
  <c r="CG55" i="9"/>
  <c r="J210" i="14"/>
  <c r="U55" i="9"/>
  <c r="BD55" i="9"/>
  <c r="H134" i="15"/>
  <c r="G666" i="14"/>
  <c r="O55" i="9"/>
  <c r="BE55" i="9"/>
  <c r="I400" i="14"/>
  <c r="F172" i="15"/>
  <c r="G324" i="14"/>
  <c r="AG55" i="9"/>
  <c r="G628" i="14"/>
  <c r="J55" i="9"/>
  <c r="J400" i="14"/>
  <c r="R55" i="9"/>
  <c r="F628" i="14"/>
  <c r="J666" i="14"/>
  <c r="BY55" i="9"/>
  <c r="BG55" i="9"/>
  <c r="AH55" i="9"/>
  <c r="J362" i="14"/>
  <c r="J134" i="14"/>
  <c r="J172" i="14"/>
  <c r="BW55" i="9"/>
  <c r="E55" i="9"/>
  <c r="H628" i="14"/>
  <c r="AZ55" i="9"/>
  <c r="L55" i="9"/>
  <c r="G400" i="14"/>
  <c r="BS55" i="9"/>
  <c r="J1882" i="22"/>
  <c r="CB55" i="9"/>
  <c r="AM55" i="9"/>
  <c r="G1692" i="21"/>
  <c r="AE55" i="9"/>
  <c r="AC55" i="9"/>
  <c r="I210" i="14"/>
  <c r="G172" i="14"/>
  <c r="F96" i="14"/>
  <c r="G55" i="9"/>
  <c r="J248" i="14"/>
  <c r="I172" i="15"/>
  <c r="CP55" i="9"/>
  <c r="AX55" i="9"/>
  <c r="H172" i="15"/>
  <c r="BJ55" i="9"/>
  <c r="BP55" i="9"/>
  <c r="H1882" i="22"/>
  <c r="AT55" i="9"/>
  <c r="J1692" i="21"/>
  <c r="H514" i="14"/>
  <c r="G134" i="14"/>
  <c r="CC55" i="9"/>
  <c r="F514" i="14"/>
  <c r="BT55" i="9"/>
  <c r="F210" i="14"/>
  <c r="AJ55" i="9"/>
  <c r="AR55" i="9"/>
  <c r="F172" i="14"/>
  <c r="AS55" i="9"/>
  <c r="Z55" i="9"/>
  <c r="G704" i="14"/>
  <c r="BX55" i="9"/>
  <c r="F286" i="14"/>
  <c r="J96" i="14"/>
  <c r="BC55" i="9"/>
  <c r="J134" i="15"/>
  <c r="H1692" i="21"/>
  <c r="H362" i="14"/>
  <c r="AN55" i="9"/>
  <c r="BO55" i="9"/>
  <c r="I362" i="14"/>
  <c r="I704" i="14"/>
  <c r="I248" i="14"/>
  <c r="AP55" i="9"/>
  <c r="AQ55" i="9"/>
  <c r="F1882" i="22"/>
  <c r="AA55" i="9"/>
  <c r="I96" i="14"/>
  <c r="X55" i="9"/>
  <c r="F400" i="14"/>
  <c r="AY55" i="9"/>
  <c r="G134" i="15"/>
  <c r="G362" i="14"/>
  <c r="AI55" i="9"/>
  <c r="CH55" i="9"/>
  <c r="BL55" i="9"/>
  <c r="J704" i="14"/>
  <c r="BM55" i="9"/>
  <c r="V55" i="9"/>
  <c r="I134" i="14"/>
  <c r="J514" i="14"/>
  <c r="AL55" i="9"/>
  <c r="AU55" i="9"/>
  <c r="BF55" i="9"/>
  <c r="CR55" i="9"/>
  <c r="J628" i="14"/>
  <c r="T55" i="9"/>
  <c r="I286" i="14"/>
  <c r="J286" i="14"/>
  <c r="CO55" i="9"/>
  <c r="BB55" i="9"/>
  <c r="AO55" i="9"/>
  <c r="N55" i="9"/>
  <c r="W55" i="9"/>
  <c r="H134" i="14"/>
  <c r="G96" i="14"/>
  <c r="G210" i="14"/>
  <c r="F134" i="14"/>
  <c r="CL55" i="9"/>
  <c r="F1692" i="21"/>
  <c r="F134" i="15"/>
  <c r="M55" i="9"/>
  <c r="AB55" i="9"/>
  <c r="H324" i="14"/>
  <c r="I134" i="15"/>
  <c r="K55" i="9"/>
  <c r="J324" i="14"/>
  <c r="H96" i="14"/>
  <c r="CA55" i="9"/>
  <c r="F55" i="9"/>
  <c r="BN55" i="9"/>
  <c r="BR55" i="9"/>
  <c r="CI55" i="9"/>
  <c r="H55" i="9"/>
  <c r="J172" i="15"/>
  <c r="H704" i="14"/>
  <c r="BU55" i="9"/>
  <c r="BZ55" i="9"/>
  <c r="S55" i="9"/>
  <c r="I1882" i="22"/>
  <c r="I628" i="14"/>
  <c r="H286" i="14"/>
  <c r="CN55" i="9"/>
  <c r="AV55" i="9"/>
  <c r="AF55" i="9"/>
  <c r="AW55" i="9"/>
  <c r="CD55" i="9"/>
  <c r="H248" i="14"/>
  <c r="G286" i="14"/>
  <c r="Q55" i="9"/>
  <c r="F362" i="14"/>
  <c r="I1692" i="21"/>
  <c r="CM55" i="9"/>
  <c r="BA55" i="9"/>
  <c r="Y55" i="9"/>
  <c r="AD55" i="9"/>
  <c r="AK55" i="9"/>
  <c r="F704" i="14"/>
  <c r="P55" i="9"/>
  <c r="BI55" i="9"/>
  <c r="BK55" i="9"/>
  <c r="I172" i="14"/>
  <c r="BV55" i="9"/>
  <c r="F324" i="14"/>
  <c r="H666" i="14"/>
  <c r="CK55" i="9"/>
  <c r="CQ55" i="9"/>
  <c r="H210" i="14"/>
  <c r="G514" i="14"/>
  <c r="I666" i="14"/>
  <c r="G248" i="14"/>
  <c r="H400" i="14"/>
  <c r="G1882" i="22"/>
  <c r="CF55" i="9"/>
  <c r="F248" i="14"/>
  <c r="BH55" i="9"/>
  <c r="G172" i="15"/>
  <c r="CE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1122" i="22"/>
  <c r="G1654" i="21"/>
  <c r="J1654" i="21"/>
  <c r="G1426" i="22"/>
  <c r="J1578" i="22"/>
  <c r="F1654" i="21"/>
  <c r="I1844" i="22"/>
  <c r="I970" i="22"/>
  <c r="J1008" i="22"/>
  <c r="H1426" i="22"/>
  <c r="G970" i="22"/>
  <c r="H1844" i="22"/>
  <c r="G1616" i="21"/>
  <c r="G1844" i="22"/>
  <c r="J1616" i="21"/>
  <c r="F1844" i="22"/>
  <c r="I970" i="21"/>
  <c r="I1350" i="21"/>
  <c r="F1578" i="22"/>
  <c r="F1350" i="21"/>
  <c r="H1540" i="22"/>
  <c r="I1008" i="22"/>
  <c r="H1616" i="21"/>
  <c r="J970" i="22"/>
  <c r="I1122" i="22"/>
  <c r="G970" i="21"/>
  <c r="J1122" i="22"/>
  <c r="F970" i="22"/>
  <c r="H970" i="22"/>
  <c r="I1578" i="22"/>
  <c r="J1540" i="22"/>
  <c r="J1426" i="22"/>
  <c r="J1844" i="22"/>
  <c r="J1350" i="21"/>
  <c r="G1350" i="21"/>
  <c r="H1350" i="21"/>
  <c r="I1426" i="22"/>
  <c r="H970" i="21"/>
  <c r="H1122" i="22"/>
  <c r="G1540" i="22"/>
  <c r="H1654" i="21"/>
  <c r="I1616" i="21"/>
  <c r="F1426" i="22"/>
  <c r="F1616" i="21"/>
  <c r="I1540" i="22"/>
  <c r="F1540" i="22"/>
  <c r="F1008" i="22"/>
  <c r="F970" i="21"/>
  <c r="I1654" i="21"/>
  <c r="G1008" i="22"/>
  <c r="H1578" i="22"/>
  <c r="H1008" i="22"/>
  <c r="G1578" i="22"/>
  <c r="J970" i="21"/>
  <c r="F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1198" i="22"/>
  <c r="J590" i="14"/>
  <c r="F1312" i="22"/>
  <c r="I362" i="22"/>
  <c r="I1730" i="22"/>
  <c r="F400" i="22"/>
  <c r="J476" i="22"/>
  <c r="J438" i="14"/>
  <c r="H210" i="15"/>
  <c r="I172" i="22"/>
  <c r="J96" i="13"/>
  <c r="F1388" i="22"/>
  <c r="I58" i="15"/>
  <c r="H20" i="13"/>
  <c r="G400" i="21"/>
  <c r="G590" i="14"/>
  <c r="G1578" i="21"/>
  <c r="G552" i="22"/>
  <c r="F476" i="21"/>
  <c r="H818" i="22"/>
  <c r="F438" i="22"/>
  <c r="G20" i="15"/>
  <c r="H400" i="21"/>
  <c r="H172" i="5"/>
  <c r="J20" i="18"/>
  <c r="G172" i="21"/>
  <c r="H476" i="22"/>
  <c r="F1084" i="22"/>
  <c r="F704" i="21"/>
  <c r="F134" i="22"/>
  <c r="G742" i="22"/>
  <c r="F438" i="14"/>
  <c r="J628" i="22"/>
  <c r="I704" i="22"/>
  <c r="F1616" i="22"/>
  <c r="I628" i="21"/>
  <c r="F1312" i="21"/>
  <c r="G210" i="22"/>
  <c r="I134" i="18"/>
  <c r="J1236" i="21"/>
  <c r="H1236" i="22"/>
  <c r="H1122" i="21"/>
  <c r="F1654" i="22"/>
  <c r="H1160" i="22"/>
  <c r="J20" i="21"/>
  <c r="H172" i="22"/>
  <c r="G856" i="22"/>
  <c r="G248" i="15"/>
  <c r="I932" i="21"/>
  <c r="J362" i="21"/>
  <c r="G552" i="14"/>
  <c r="G1806" i="22"/>
  <c r="J1160" i="22"/>
  <c r="G1350" i="22"/>
  <c r="J172" i="21"/>
  <c r="F96" i="13"/>
  <c r="H1464" i="22"/>
  <c r="H1312" i="21"/>
  <c r="J704" i="21"/>
  <c r="I1236" i="21"/>
  <c r="F324" i="22"/>
  <c r="I172" i="21"/>
  <c r="F172" i="22"/>
  <c r="I1426" i="21"/>
  <c r="H134" i="18"/>
  <c r="I818" i="21"/>
  <c r="J552" i="14"/>
  <c r="J1312" i="22"/>
  <c r="F96" i="21"/>
  <c r="J1236" i="22"/>
  <c r="I1274" i="22"/>
  <c r="F1464" i="22"/>
  <c r="H96" i="22"/>
  <c r="G210" i="15"/>
  <c r="F894" i="21"/>
  <c r="J400" i="21"/>
  <c r="F1692" i="22"/>
  <c r="H1084" i="22"/>
  <c r="J286" i="15"/>
  <c r="J1654" i="22"/>
  <c r="J96" i="15"/>
  <c r="F1198" i="21"/>
  <c r="F20" i="14"/>
  <c r="I58" i="5"/>
  <c r="I286" i="22"/>
  <c r="H780" i="21"/>
  <c r="I1350" i="22"/>
  <c r="I856" i="21"/>
  <c r="H286" i="21"/>
  <c r="G1236" i="21"/>
  <c r="J438" i="22"/>
  <c r="I1274" i="21"/>
  <c r="G818" i="22"/>
  <c r="F438" i="21"/>
  <c r="J20" i="5"/>
  <c r="J818" i="21"/>
  <c r="I96" i="21"/>
  <c r="F894" i="22"/>
  <c r="G476" i="21"/>
  <c r="F286" i="15"/>
  <c r="J324" i="21"/>
  <c r="I628" i="22"/>
  <c r="F1008" i="21"/>
  <c r="J1046" i="21"/>
  <c r="H742" i="22"/>
  <c r="J58" i="15"/>
  <c r="J400" i="22"/>
  <c r="I20" i="13"/>
  <c r="I210" i="21"/>
  <c r="I1312" i="22"/>
  <c r="I1008" i="21"/>
  <c r="H1046" i="21"/>
  <c r="I1616" i="22"/>
  <c r="I96" i="18"/>
  <c r="I58" i="14"/>
  <c r="I362" i="21"/>
  <c r="F590" i="21"/>
  <c r="G1654" i="22"/>
  <c r="I1160" i="22"/>
  <c r="G818" i="21"/>
  <c r="F248" i="22"/>
  <c r="I552" i="21"/>
  <c r="I1502" i="22"/>
  <c r="F1236" i="21"/>
  <c r="F96" i="15"/>
  <c r="F58" i="21"/>
  <c r="F514" i="22"/>
  <c r="I134" i="5"/>
  <c r="G1388" i="21"/>
  <c r="F286" i="22"/>
  <c r="F1046" i="22"/>
  <c r="G286" i="15"/>
  <c r="F628" i="21"/>
  <c r="J894" i="22"/>
  <c r="F1274" i="22"/>
  <c r="F666" i="22"/>
  <c r="J58" i="5"/>
  <c r="G400" i="22"/>
  <c r="I1198" i="22"/>
  <c r="F1160" i="21"/>
  <c r="H628" i="21"/>
  <c r="H324" i="22"/>
  <c r="G172" i="18"/>
  <c r="J58" i="21"/>
  <c r="I134" i="22"/>
  <c r="G894" i="21"/>
  <c r="F514" i="21"/>
  <c r="G932" i="22"/>
  <c r="H248" i="21"/>
  <c r="G58" i="15"/>
  <c r="G20" i="18"/>
  <c r="G362" i="22"/>
  <c r="I666" i="22"/>
  <c r="H1274" i="21"/>
  <c r="G172" i="5"/>
  <c r="J1540" i="21"/>
  <c r="H666" i="21"/>
  <c r="G286" i="22"/>
  <c r="G514" i="22"/>
  <c r="F20" i="22"/>
  <c r="G58" i="13"/>
  <c r="J210" i="22"/>
  <c r="I324" i="21"/>
  <c r="H438" i="14"/>
  <c r="H590" i="21"/>
  <c r="F172" i="21"/>
  <c r="G20" i="13"/>
  <c r="H1502" i="21"/>
  <c r="G1274" i="21"/>
  <c r="G590" i="22"/>
  <c r="H58" i="14"/>
  <c r="G666" i="22"/>
  <c r="G1122" i="21"/>
  <c r="J96" i="22"/>
  <c r="H1578" i="21"/>
  <c r="H742" i="21"/>
  <c r="H818" i="21"/>
  <c r="H1350" i="22"/>
  <c r="I58" i="18"/>
  <c r="I514" i="21"/>
  <c r="I704" i="21"/>
  <c r="F1540" i="21"/>
  <c r="H704" i="22"/>
  <c r="J134" i="18"/>
  <c r="G438" i="14"/>
  <c r="I590" i="22"/>
  <c r="G20" i="14"/>
  <c r="G666" i="21"/>
  <c r="H1768" i="22"/>
  <c r="J324" i="15"/>
  <c r="F704" i="22"/>
  <c r="F134" i="18"/>
  <c r="I1122" i="21"/>
  <c r="H1312" i="22"/>
  <c r="I894" i="21"/>
  <c r="F856" i="21"/>
  <c r="J894" i="21"/>
  <c r="F932" i="21"/>
  <c r="G1084" i="21"/>
  <c r="I20" i="5"/>
  <c r="G780" i="21"/>
  <c r="I286" i="15"/>
  <c r="G1046" i="21"/>
  <c r="G96" i="15"/>
  <c r="H476" i="14"/>
  <c r="J932" i="22"/>
  <c r="F362" i="21"/>
  <c r="J172" i="22"/>
  <c r="J172" i="18"/>
  <c r="G1236" i="22"/>
  <c r="I894" i="22"/>
  <c r="J1388" i="21"/>
  <c r="J666" i="21"/>
  <c r="I476" i="14"/>
  <c r="F856" i="22"/>
  <c r="J20" i="15"/>
  <c r="J1198" i="21"/>
  <c r="F1464" i="21"/>
  <c r="G932" i="21"/>
  <c r="F818" i="22"/>
  <c r="G628" i="22"/>
  <c r="F1388" i="21"/>
  <c r="F20" i="13"/>
  <c r="F172" i="18"/>
  <c r="I1654" i="22"/>
  <c r="H932" i="22"/>
  <c r="G172" i="22"/>
  <c r="F1122" i="21"/>
  <c r="H286" i="22"/>
  <c r="H1692" i="22"/>
  <c r="H1160" i="21"/>
  <c r="H96" i="13"/>
  <c r="G324" i="21"/>
  <c r="F58" i="18"/>
  <c r="H856" i="22"/>
  <c r="F780" i="22"/>
  <c r="I286" i="21"/>
  <c r="I932" i="22"/>
  <c r="J362" i="22"/>
  <c r="H20" i="18"/>
  <c r="G590" i="21"/>
  <c r="H1388" i="22"/>
  <c r="G248" i="22"/>
  <c r="I20" i="14"/>
  <c r="J1084" i="21"/>
  <c r="I1312" i="21"/>
  <c r="I1464" i="21"/>
  <c r="J210" i="5"/>
  <c r="J286" i="22"/>
  <c r="I58" i="13"/>
  <c r="G1730" i="22"/>
  <c r="F58" i="22"/>
  <c r="I400" i="22"/>
  <c r="G134" i="5"/>
  <c r="I400" i="21"/>
  <c r="G324" i="22"/>
  <c r="G742" i="21"/>
  <c r="H1008" i="21"/>
  <c r="H590" i="22"/>
  <c r="H856" i="21"/>
  <c r="H1274" i="22"/>
  <c r="F20" i="18"/>
  <c r="J58" i="13"/>
  <c r="H514" i="21"/>
  <c r="G210" i="5"/>
  <c r="I248" i="15"/>
  <c r="I324" i="15"/>
  <c r="G58" i="14"/>
  <c r="J1578" i="21"/>
  <c r="J1312" i="21"/>
  <c r="H210" i="21"/>
  <c r="H210" i="5"/>
  <c r="G1160" i="22"/>
  <c r="F210" i="15"/>
  <c r="J704" i="22"/>
  <c r="F96" i="5"/>
  <c r="G96" i="21"/>
  <c r="I1160" i="21"/>
  <c r="H134" i="21"/>
  <c r="I780" i="22"/>
  <c r="H1426" i="21"/>
  <c r="H666" i="22"/>
  <c r="G1502" i="21"/>
  <c r="G476" i="22"/>
  <c r="G58" i="5"/>
  <c r="F58" i="5"/>
  <c r="G1616" i="22"/>
  <c r="G20" i="5"/>
  <c r="G1464" i="21"/>
  <c r="I96" i="22"/>
  <c r="I1198" i="21"/>
  <c r="G552" i="21"/>
  <c r="J1274" i="21"/>
  <c r="J666" i="22"/>
  <c r="H172" i="18"/>
  <c r="G856" i="21"/>
  <c r="G1692" i="22"/>
  <c r="H134" i="5"/>
  <c r="H58" i="18"/>
  <c r="J58" i="18"/>
  <c r="F324" i="15"/>
  <c r="J438" i="21"/>
  <c r="I1046" i="22"/>
  <c r="G248" i="21"/>
  <c r="I1464" i="22"/>
  <c r="G1426" i="21"/>
  <c r="G20" i="22"/>
  <c r="I58" i="22"/>
  <c r="F552" i="14"/>
  <c r="H58" i="13"/>
  <c r="G96" i="5"/>
  <c r="J1426" i="21"/>
  <c r="I438" i="14"/>
  <c r="H1084" i="21"/>
  <c r="J552" i="21"/>
  <c r="H1236" i="21"/>
  <c r="J742" i="21"/>
  <c r="F134" i="5"/>
  <c r="H1616" i="22"/>
  <c r="G1312" i="21"/>
  <c r="G362" i="21"/>
  <c r="I438" i="21"/>
  <c r="H1654" i="22"/>
  <c r="F1236" i="22"/>
  <c r="I172" i="5"/>
  <c r="J1464" i="21"/>
  <c r="G286" i="21"/>
  <c r="I666" i="21"/>
  <c r="J20" i="22"/>
  <c r="J514" i="22"/>
  <c r="F666" i="21"/>
  <c r="F324" i="21"/>
  <c r="F628" i="22"/>
  <c r="J248" i="22"/>
  <c r="H590" i="14"/>
  <c r="J1730" i="22"/>
  <c r="G1084" i="22"/>
  <c r="F134" i="21"/>
  <c r="J248" i="15"/>
  <c r="H134" i="22"/>
  <c r="I172" i="18"/>
  <c r="H58" i="22"/>
  <c r="H438" i="21"/>
  <c r="G780" i="22"/>
  <c r="J590" i="21"/>
  <c r="F286" i="21"/>
  <c r="F1730" i="22"/>
  <c r="H20" i="5"/>
  <c r="J780" i="21"/>
  <c r="H400" i="22"/>
  <c r="I818" i="22"/>
  <c r="G1046" i="22"/>
  <c r="I856" i="22"/>
  <c r="F20" i="15"/>
  <c r="G1540" i="21"/>
  <c r="J1768" i="22"/>
  <c r="G1312" i="22"/>
  <c r="J514" i="21"/>
  <c r="I20" i="22"/>
  <c r="F1084" i="21"/>
  <c r="H704" i="21"/>
  <c r="I552" i="22"/>
  <c r="F1502" i="21"/>
  <c r="J1502" i="22"/>
  <c r="J58" i="14"/>
  <c r="H1464" i="21"/>
  <c r="H20" i="15"/>
  <c r="F20" i="21"/>
  <c r="H324" i="15"/>
  <c r="G438" i="21"/>
  <c r="J628" i="21"/>
  <c r="I210" i="15"/>
  <c r="G1464" i="22"/>
  <c r="H894" i="21"/>
  <c r="J286" i="21"/>
  <c r="F58" i="14"/>
  <c r="F210" i="5"/>
  <c r="H514" i="22"/>
  <c r="J1350" i="22"/>
  <c r="I324" i="22"/>
  <c r="I1540" i="21"/>
  <c r="H552" i="22"/>
  <c r="F590" i="14"/>
  <c r="J96" i="18"/>
  <c r="G704" i="21"/>
  <c r="J1084" i="22"/>
  <c r="I1388" i="21"/>
  <c r="G134" i="21"/>
  <c r="G96" i="13"/>
  <c r="F96" i="18"/>
  <c r="I590" i="14"/>
  <c r="J134" i="5"/>
  <c r="I96" i="13"/>
  <c r="J1274" i="22"/>
  <c r="J552" i="22"/>
  <c r="J210" i="15"/>
  <c r="F1046" i="21"/>
  <c r="G58" i="21"/>
  <c r="G20" i="21"/>
  <c r="G704" i="22"/>
  <c r="I742" i="21"/>
  <c r="I1502" i="21"/>
  <c r="H286" i="15"/>
  <c r="F362" i="22"/>
  <c r="H58" i="5"/>
  <c r="I20" i="18"/>
  <c r="H248" i="15"/>
  <c r="H96" i="21"/>
  <c r="F1274" i="21"/>
  <c r="G1768" i="22"/>
  <c r="I476" i="22"/>
  <c r="G438" i="22"/>
  <c r="J20" i="14"/>
  <c r="J210" i="21"/>
  <c r="J1008" i="21"/>
  <c r="J248" i="21"/>
  <c r="G324" i="15"/>
  <c r="J1502" i="21"/>
  <c r="H1046" i="22"/>
  <c r="F476" i="14"/>
  <c r="H58" i="15"/>
  <c r="G1502" i="22"/>
  <c r="H1198" i="22"/>
  <c r="F1426" i="21"/>
  <c r="G96" i="18"/>
  <c r="J476" i="14"/>
  <c r="I1768" i="22"/>
  <c r="H628" i="22"/>
  <c r="I1236" i="22"/>
  <c r="H248" i="22"/>
  <c r="F248" i="15"/>
  <c r="J324" i="22"/>
  <c r="F742" i="22"/>
  <c r="I438" i="22"/>
  <c r="F476" i="22"/>
  <c r="F780" i="21"/>
  <c r="H172" i="21"/>
  <c r="H96" i="5"/>
  <c r="F1160" i="22"/>
  <c r="I1806" i="22"/>
  <c r="J1388" i="22"/>
  <c r="I590" i="21"/>
  <c r="G58" i="18"/>
  <c r="G514" i="21"/>
  <c r="G1198" i="21"/>
  <c r="J590" i="22"/>
  <c r="H20" i="21"/>
  <c r="F818" i="21"/>
  <c r="I20" i="15"/>
  <c r="F172" i="5"/>
  <c r="I96" i="15"/>
  <c r="H932" i="21"/>
  <c r="I552" i="14"/>
  <c r="G1274" i="22"/>
  <c r="G1198" i="22"/>
  <c r="I210" i="5"/>
  <c r="J780" i="22"/>
  <c r="F590" i="22"/>
  <c r="F1806" i="22"/>
  <c r="I1046" i="21"/>
  <c r="H552" i="14"/>
  <c r="F1502" i="22"/>
  <c r="I20" i="21"/>
  <c r="J134" i="21"/>
  <c r="F552" i="22"/>
  <c r="H1198" i="21"/>
  <c r="H1806" i="22"/>
  <c r="F1350" i="22"/>
  <c r="I248" i="21"/>
  <c r="J932" i="21"/>
  <c r="I134" i="21"/>
  <c r="J1122" i="21"/>
  <c r="H780" i="22"/>
  <c r="H362" i="21"/>
  <c r="G1388" i="22"/>
  <c r="J856" i="21"/>
  <c r="H96" i="15"/>
  <c r="J1198" i="22"/>
  <c r="G134" i="22"/>
  <c r="G1160" i="21"/>
  <c r="F58" i="15"/>
  <c r="G1008" i="21"/>
  <c r="H58" i="21"/>
  <c r="F1768" i="22"/>
  <c r="H20" i="14"/>
  <c r="F210" i="22"/>
  <c r="I1084" i="22"/>
  <c r="I514" i="22"/>
  <c r="F20" i="5"/>
  <c r="J742" i="22"/>
  <c r="G628" i="21"/>
  <c r="H96" i="18"/>
  <c r="J1692" i="22"/>
  <c r="J134" i="22"/>
  <c r="J1806" i="22"/>
  <c r="J1046" i="22"/>
  <c r="H552" i="21"/>
  <c r="J172" i="5"/>
  <c r="F552" i="21"/>
  <c r="F96" i="22"/>
  <c r="J96" i="5"/>
  <c r="H476" i="21"/>
  <c r="J856" i="22"/>
  <c r="H1730" i="22"/>
  <c r="J58" i="22"/>
  <c r="F248" i="21"/>
  <c r="F58" i="13"/>
  <c r="G894" i="22"/>
  <c r="H1540" i="21"/>
  <c r="I780" i="21"/>
  <c r="H324" i="21"/>
  <c r="G210" i="21"/>
  <c r="J476" i="21"/>
  <c r="H438" i="22"/>
  <c r="I742" i="22"/>
  <c r="I1692" i="22"/>
  <c r="H1388" i="21"/>
  <c r="I96" i="5"/>
  <c r="J96" i="21"/>
  <c r="H362" i="22"/>
  <c r="G58" i="22"/>
  <c r="J1160" i="21"/>
  <c r="G96" i="22"/>
  <c r="I210" i="22"/>
  <c r="I1084" i="21"/>
  <c r="H20" i="22"/>
  <c r="G476" i="14"/>
  <c r="F742" i="21"/>
  <c r="I1578" i="21"/>
  <c r="J20" i="13"/>
  <c r="G134" i="18"/>
  <c r="F210" i="21"/>
  <c r="I476" i="21"/>
  <c r="J1464" i="22"/>
  <c r="F400" i="21"/>
  <c r="H1502" i="22"/>
  <c r="I1388" i="22"/>
  <c r="I248" i="22"/>
  <c r="F1578" i="21"/>
  <c r="H894" i="22"/>
  <c r="J1616" i="22"/>
  <c r="H210" i="22"/>
  <c r="J818" i="22"/>
  <c r="I58" i="21"/>
  <c r="F932" i="22"/>
  <c r="G12" i="13" l="1"/>
  <c r="G14" i="15"/>
  <c r="G13" i="15"/>
  <c r="K13" i="15"/>
  <c r="K13" i="22"/>
  <c r="G12" i="5"/>
  <c r="K13" i="13"/>
  <c r="K12" i="14"/>
  <c r="G12" i="22"/>
  <c r="K13" i="5"/>
  <c r="G14" i="18"/>
  <c r="K12" i="13"/>
  <c r="K12" i="18"/>
  <c r="G13" i="21"/>
  <c r="G14" i="5"/>
  <c r="G12" i="21"/>
  <c r="K13" i="21"/>
  <c r="K12" i="22"/>
  <c r="G13" i="5"/>
  <c r="K13" i="18"/>
  <c r="K12" i="15"/>
  <c r="G13" i="14"/>
  <c r="G13" i="22"/>
  <c r="K12" i="5"/>
  <c r="G14" i="14"/>
  <c r="G12" i="14"/>
  <c r="G14" i="13"/>
  <c r="G13" i="18"/>
  <c r="G12" i="18"/>
  <c r="G14" i="22"/>
  <c r="G13" i="13"/>
  <c r="K13" i="14"/>
  <c r="K12" i="21"/>
  <c r="G14" i="21"/>
  <c r="G12" i="15"/>
  <c r="K15" i="21" l="1"/>
  <c r="K15" i="15"/>
  <c r="K15" i="22"/>
  <c r="K15" i="5"/>
  <c r="G15" i="15"/>
  <c r="K15" i="18"/>
  <c r="G15" i="21"/>
  <c r="G15" i="14"/>
  <c r="K15" i="14"/>
  <c r="G15" i="5"/>
  <c r="G15" i="18"/>
  <c r="K15" i="13"/>
  <c r="G15" i="22"/>
  <c r="G15" i="13"/>
  <c r="L12" i="21" l="1"/>
  <c r="H13" i="15"/>
  <c r="L12" i="15"/>
  <c r="L14" i="21"/>
  <c r="L13" i="15"/>
  <c r="H12" i="15"/>
  <c r="L13" i="21"/>
  <c r="H12" i="21"/>
  <c r="H14" i="15"/>
  <c r="L14" i="15"/>
  <c r="L14" i="14"/>
  <c r="H13" i="21"/>
  <c r="H14" i="21"/>
  <c r="H14" i="13"/>
  <c r="L14" i="13"/>
  <c r="H13" i="13"/>
  <c r="L12" i="13"/>
  <c r="H12" i="13"/>
  <c r="L13" i="13"/>
  <c r="H12" i="5"/>
  <c r="L13" i="5"/>
  <c r="L14" i="5"/>
  <c r="H14" i="5"/>
  <c r="H13" i="5"/>
  <c r="L12" i="5"/>
  <c r="H14" i="14"/>
  <c r="H12" i="14"/>
  <c r="L12" i="14"/>
  <c r="H13" i="22"/>
  <c r="L12" i="22"/>
  <c r="L13" i="22"/>
  <c r="L14" i="22"/>
  <c r="H12" i="22"/>
  <c r="H14" i="22"/>
  <c r="H13" i="14"/>
  <c r="L13" i="14"/>
  <c r="L14" i="18"/>
  <c r="H13" i="18"/>
  <c r="L12" i="18"/>
  <c r="H14" i="18"/>
  <c r="H12" i="18"/>
  <c r="L13" i="18"/>
  <c r="L15" i="21" l="1"/>
  <c r="L15" i="15"/>
  <c r="H15" i="15"/>
  <c r="H15" i="21"/>
  <c r="H15" i="13"/>
  <c r="H15" i="18"/>
  <c r="H15" i="5"/>
  <c r="H15" i="14"/>
  <c r="H15" i="22"/>
  <c r="L15" i="5"/>
  <c r="L15" i="13"/>
  <c r="L15" i="14"/>
  <c r="L15" i="18"/>
  <c r="L1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<sst xmlns="http://schemas.openxmlformats.org/spreadsheetml/2006/main" count="4097" uniqueCount="548">
  <si>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</si>
  <si>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</si>
  <si>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</si>
  <si>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</si>
  <si>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</si>
  <si>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</si>
  <si>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</si>
  <si>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</si>
  <si>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</si>
  <si>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</si>
  <si>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</si>
  <si>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</si>
  <si>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</si>
  <si>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</si>
  <si>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</si>
  <si>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</si>
  <si>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</si>
  <si>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</si>
  <si>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</si>
  <si>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</si>
  <si>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</si>
  <si>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</si>
  <si>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</si>
  <si>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</si>
  <si>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</si>
  <si>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</si>
  <si>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</si>
  <si>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</si>
  <si>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</si>
  <si>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</si>
  <si>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</si>
  <si>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</si>
  <si>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</si>
  <si>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</si>
  <si>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</si>
  <si>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</si>
  <si>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</si>
  <si>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</si>
  <si>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</si>
  <si>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</si>
  <si>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</si>
  <si>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</si>
  <si>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</si>
  <si>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</si>
  <si>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</si>
  <si>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</si>
  <si>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</si>
  <si>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</si>
  <si>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</si>
  <si>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</si>
  <si>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</si>
  <si>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</si>
  <si>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</si>
  <si>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</si>
  <si>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</si>
  <si>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</si>
  <si>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</si>
  <si>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</si>
  <si>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</si>
  <si>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</si>
  <si>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</si>
  <si>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</si>
  <si>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</si>
  <si>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</si>
  <si>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</si>
  <si>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</si>
  <si>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</si>
  <si>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</si>
  <si>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</si>
  <si>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</si>
  <si>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</si>
  <si>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</si>
  <si>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</si>
  <si>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</si>
  <si>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</si>
  <si>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</si>
  <si>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</si>
  <si>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</si>
  <si>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</si>
  <si>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</si>
  <si>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</si>
  <si>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</si>
  <si>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</si>
  <si>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</si>
  <si>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</si>
  <si>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</si>
  <si>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</si>
  <si>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</si>
  <si>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</si>
  <si>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</si>
  <si>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</si>
  <si>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</si>
  <si>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</si>
  <si>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</si>
  <si>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</si>
  <si>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</si>
  <si>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</si>
  <si>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</si>
  <si>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</si>
  <si>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</si>
  <si>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</si>
  <si>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</si>
  <si>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</si>
  <si>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</si>
  <si>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</si>
  <si>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</si>
  <si>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</si>
  <si>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</si>
  <si>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</si>
  <si>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</si>
  <si>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</si>
  <si>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</si>
  <si>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</si>
  <si>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</si>
  <si>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</si>
  <si>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</si>
  <si>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</si>
  <si>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</si>
  <si>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</si>
  <si>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</si>
  <si>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</si>
  <si>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</si>
  <si>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</si>
  <si>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</si>
  <si>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</si>
  <si>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</si>
  <si>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</si>
  <si>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</si>
  <si>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</si>
  <si>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</si>
  <si>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</si>
  <si>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</si>
  <si>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</si>
  <si>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</si>
  <si>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</si>
  <si>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</si>
  <si>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</si>
  <si>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</si>
  <si>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</si>
  <si>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</si>
  <si>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</si>
  <si>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</si>
  <si>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</si>
  <si>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</si>
  <si>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</si>
  <si>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</si>
  <si>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</si>
  <si>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</si>
  <si>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</si>
  <si>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</si>
  <si>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</si>
  <si>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</si>
  <si>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</si>
  <si>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</si>
  <si>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</si>
  <si>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</si>
  <si>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</si>
  <si>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</si>
  <si>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</si>
  <si>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</si>
  <si>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</si>
  <si>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</si>
  <si>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</si>
  <si>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</si>
  <si>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</si>
  <si>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</si>
  <si>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</si>
  <si>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</si>
  <si>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</si>
  <si>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</si>
  <si>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</si>
  <si>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</si>
  <si>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</si>
  <si>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</si>
  <si>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</si>
  <si>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</si>
  <si>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</si>
  <si>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</si>
  <si>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</si>
  <si>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</si>
  <si>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</si>
  <si>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</si>
  <si>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</si>
  <si>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</si>
  <si>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</si>
  <si>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</si>
  <si>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</si>
  <si>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</si>
  <si>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</si>
  <si>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</si>
  <si>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</si>
  <si>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</si>
  <si>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</si>
  <si>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</si>
  <si>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</si>
  <si>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</si>
  <si>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</si>
  <si>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</si>
  <si>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</si>
  <si>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</si>
  <si>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</si>
  <si>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</si>
  <si>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</si>
  <si>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</si>
  <si>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</si>
  <si>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</si>
  <si>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</si>
  <si>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</si>
  <si>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</si>
  <si>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</si>
  <si>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</si>
  <si>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</si>
  <si>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</si>
  <si>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</si>
  <si>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</si>
  <si>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</si>
  <si>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</si>
  <si>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</si>
  <si>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</si>
  <si>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</si>
  <si>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</si>
  <si>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</si>
  <si>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</si>
  <si>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</si>
  <si>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</si>
  <si>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</si>
  <si>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</si>
  <si>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</si>
  <si>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</si>
  <si>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</si>
  <si>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</si>
  <si>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</si>
  <si>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</si>
  <si>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</si>
  <si>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</si>
  <si>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</si>
  <si>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</si>
  <si>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</si>
  <si>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</si>
  <si>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</si>
  <si>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</si>
  <si>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</si>
  <si>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</si>
  <si>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</si>
  <si>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</si>
  <si>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</si>
  <si>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</si>
  <si>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</si>
  <si>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</si>
  <si>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</si>
  <si>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</si>
  <si>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</si>
  <si>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</si>
  <si>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</si>
  <si>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</si>
  <si>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</si>
  <si>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</si>
  <si>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</si>
  <si>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</si>
  <si>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</si>
  <si>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</si>
  <si>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</si>
  <si>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</si>
  <si>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</si>
  <si>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</si>
  <si>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</si>
  <si>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</si>
  <si>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</si>
  <si>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</si>
  <si>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</si>
  <si>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</si>
  <si>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</si>
  <si>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</si>
  <si>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</si>
  <si>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</si>
  <si>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</si>
  <si>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</si>
  <si>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</si>
  <si>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</si>
  <si>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</si>
  <si>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</si>
  <si>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</si>
  <si>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</si>
  <si>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</si>
  <si>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</si>
  <si>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</si>
  <si>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</si>
  <si>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</si>
  <si>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</si>
  <si>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</si>
  <si>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</si>
  <si>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</si>
  <si>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</si>
  <si>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</si>
  <si>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</si>
  <si>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</si>
  <si>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</si>
  <si>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</si>
  <si>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</si>
  <si>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</si>
  <si>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</si>
  <si>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</si>
  <si>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</si>
  <si>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</si>
  <si>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</si>
  <si>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</si>
  <si>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</si>
  <si>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</si>
  <si>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</si>
  <si>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</si>
  <si>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</si>
  <si>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</si>
  <si>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</si>
  <si>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</si>
  <si>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</si>
  <si>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</si>
  <si>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</si>
  <si>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</si>
  <si>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</si>
  <si>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</si>
  <si>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</si>
  <si>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</si>
  <si>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</si>
  <si>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</si>
  <si>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</si>
  <si>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</si>
  <si>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</si>
  <si>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</si>
  <si>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</si>
  <si>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</si>
  <si>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</si>
  <si>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</si>
  <si>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</si>
  <si>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</si>
  <si>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</si>
  <si>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</si>
  <si>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</si>
  <si>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</si>
  <si>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</si>
  <si>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</si>
  <si>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</si>
  <si>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</si>
  <si>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</si>
  <si>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</si>
  <si>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</si>
  <si>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</si>
  <si>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</si>
  <si>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</si>
  <si>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</si>
  <si>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</si>
  <si>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</si>
  <si>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</si>
  <si>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</si>
  <si>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</si>
  <si>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</si>
  <si>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</si>
  <si>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</si>
  <si>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</si>
  <si>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</si>
  <si>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</si>
  <si>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</si>
  <si>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</si>
  <si>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</si>
  <si>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</si>
  <si>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</si>
  <si>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</si>
  <si>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</si>
  <si>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</si>
  <si>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</si>
  <si>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</si>
  <si>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</si>
  <si>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</si>
  <si>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</si>
  <si>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</si>
  <si>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</si>
  <si>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</si>
  <si>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</si>
  <si>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</si>
  <si>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</si>
  <si>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</si>
  <si>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</si>
  <si>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</si>
  <si>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</si>
  <si>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</si>
  <si>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</si>
  <si>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</si>
  <si>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</si>
  <si>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</si>
  <si>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</si>
  <si>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</si>
  <si>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</si>
  <si>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</si>
  <si>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</si>
  <si>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</si>
  <si>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</si>
  <si>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</si>
  <si>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</si>
  <si>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</si>
  <si>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</si>
  <si>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</si>
  <si>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</si>
  <si>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</si>
  <si>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</si>
  <si>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</si>
  <si>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</si>
  <si>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</si>
  <si>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</si>
  <si>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</si>
  <si>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</si>
  <si>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</si>
  <si>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</si>
  <si>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</si>
  <si>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</si>
  <si>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</si>
  <si>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</si>
  <si>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</si>
  <si>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</si>
  <si>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</si>
  <si>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</si>
  <si>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</si>
  <si>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</si>
  <si>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</si>
  <si>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</si>
  <si>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</si>
  <si>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</si>
  <si>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</si>
  <si>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</si>
  <si>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</si>
  <si>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</si>
  <si>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</si>
  <si>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</si>
  <si>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</si>
  <si>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</si>
  <si>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</si>
  <si>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</si>
  <si>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</si>
  <si>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</si>
  <si>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</si>
  <si>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</si>
  <si>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</si>
  <si>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</si>
  <si>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</si>
  <si>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</si>
  <si>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</si>
  <si>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</si>
  <si>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</si>
  <si>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</si>
  <si>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</si>
  <si>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</si>
  <si>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</si>
  <si>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</si>
  <si>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</si>
  <si>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</si>
  <si>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</si>
  <si>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</si>
  <si>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</si>
  <si>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</si>
  <si>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</si>
  <si>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</si>
  <si>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</si>
  <si>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</si>
  <si>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</si>
  <si>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</si>
  <si>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</si>
  <si>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</si>
  <si>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</si>
  <si>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</si>
  <si>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</si>
  <si>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</si>
  <si>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</si>
  <si>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</si>
  <si>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</si>
  <si>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</si>
  <si>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</si>
  <si>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</si>
  <si>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</si>
  <si>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</si>
  <si>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</si>
  <si>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</si>
  <si>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</si>
  <si>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</si>
  <si>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https://www.comunidad.madrid/hospital/santacristina/</t>
  </si>
  <si>
    <t>Se revisan las páginas del dominio</t>
  </si>
  <si>
    <t>Portal multisite del hospital Santa Cristina en Drupal 8</t>
  </si>
  <si>
    <t xml:space="preserve">https://www.drupal.org/project/drupal/releases/8.0.0 </t>
  </si>
  <si>
    <t>PHP/DRUPAL</t>
  </si>
  <si>
    <t>PRINCIPAL</t>
  </si>
  <si>
    <t>CIUDADANOS</t>
  </si>
  <si>
    <t>PROFESIONALES</t>
  </si>
  <si>
    <t>COMUNICACIÓN</t>
  </si>
  <si>
    <t>NOSOTROS</t>
  </si>
  <si>
    <t>BUSCADOR</t>
  </si>
  <si>
    <t>ATENCIÓN AL PACIENTE</t>
  </si>
  <si>
    <t>ATENCIÓN ESPIRITUAL</t>
  </si>
  <si>
    <t>LOCALIZACIÓN Y ACCESO</t>
  </si>
  <si>
    <t>GUÍAS DE USUARIO</t>
  </si>
  <si>
    <t>SERVICIOS QUIRÚRGICOS</t>
  </si>
  <si>
    <t>INVESTIGACIÓN</t>
  </si>
  <si>
    <t>NOTICIAS</t>
  </si>
  <si>
    <t>ACTOS DEL CENTENARIO</t>
  </si>
  <si>
    <t>ACCESIBILIDAD HOSPITAL</t>
  </si>
  <si>
    <t>CARTERA DE SERVICIOS</t>
  </si>
  <si>
    <t>CONTACTO</t>
  </si>
  <si>
    <t>ACCESIBILIDAD</t>
  </si>
  <si>
    <t>LEGAL</t>
  </si>
  <si>
    <t>MAPA WEB</t>
  </si>
  <si>
    <t>Página Web</t>
  </si>
  <si>
    <t>https://www.comunidad.madrid/hospital/santacristina/ciudadanos</t>
  </si>
  <si>
    <t>https://www.comunidad.madrid/hospital/santacristina/profesionales</t>
  </si>
  <si>
    <t>https://www.comunidad.madrid/hospital/santacristina/comunicacion</t>
  </si>
  <si>
    <t>https://www.comunidad.madrid/hospital/santacristina/nosotros</t>
  </si>
  <si>
    <t>https://www.comunidad.madrid/hospital/santacristina/buscar?search_api_fulltext=&amp;nombre=</t>
  </si>
  <si>
    <t>https://www.comunidad.madrid/hospital/santacristina/ciudadanos/atencion-paciente</t>
  </si>
  <si>
    <t>https://www.comunidad.madrid/hospital/santacristina/ciudadanos/atencion-espiritual-religiosa</t>
  </si>
  <si>
    <t>https://www.comunidad.madrid/hospital/santacristina/ciudadanos/localizacion-acceso</t>
  </si>
  <si>
    <t>https://www.comunidad.madrid/hospital/santacristina/ciudadanos/guias-usuario</t>
  </si>
  <si>
    <t>https://www.comunidad.madrid/hospital/santacristina/profesionales/servicios-quirurgicos-0</t>
  </si>
  <si>
    <t>https://www.comunidad.madrid/hospital/santacristina/profesionales/investigacion-0</t>
  </si>
  <si>
    <t>https://www.comunidad.madrid/hospital/santacristina/comunicacion/noticias</t>
  </si>
  <si>
    <t>https://www.comunidad.madrid/hospital/santacristina/nosotros/actos-centenario</t>
  </si>
  <si>
    <t>https://www.comunidad.madrid/hospital/santacristina/nosotros/accesibilidad-hospital</t>
  </si>
  <si>
    <t>https://www.comunidad.madrid/hospital/santacristina/nosotros/cartera-servicios</t>
  </si>
  <si>
    <t>https://www.comunidad.madrid/hospital/santacristina/comunicacion/contacto</t>
  </si>
  <si>
    <t>https://www.comunidad.madrid/hospital/santacristina/declaracion-accesibilidad</t>
  </si>
  <si>
    <t>https://www.comunidad.madrid/hospital/santacristina/ciudadanos/aviso-legal-privacidad</t>
  </si>
  <si>
    <t>Home</t>
  </si>
  <si>
    <t>Home &gt; Ciudadanos</t>
  </si>
  <si>
    <t>Home &gt; Profesionales</t>
  </si>
  <si>
    <t>Home &gt; Comunicación</t>
  </si>
  <si>
    <t>Home &gt; Nosotros</t>
  </si>
  <si>
    <t>Home &gt; Lupa Buscar &gt; Botón Buscar</t>
  </si>
  <si>
    <t>Home &gt; Ciudadanos &gt; Atención al paciente</t>
  </si>
  <si>
    <t>Home &gt; Ciudadanos &gt; Atención  espiritual y religiosa</t>
  </si>
  <si>
    <t>Home &gt; Ciudadanos &gt; Localización y Acceso</t>
  </si>
  <si>
    <t>Home &gt; Ciudadanos &gt; Guías de usuario</t>
  </si>
  <si>
    <t>Home &gt; Profesionales &gt; Servicios quirúrgicos</t>
  </si>
  <si>
    <t>Home &gt; Profesionales &gt; Investigación</t>
  </si>
  <si>
    <t>Home &gt; Comunicación &gt; Noticias</t>
  </si>
  <si>
    <t>Home &gt; Comunicación &gt; Actos del centenario</t>
  </si>
  <si>
    <t>Home &gt; Nosotros &gt; Accesibilidad Hospital</t>
  </si>
  <si>
    <t>Home &gt; Lo más solicitado &gt; Cartera de servicios</t>
  </si>
  <si>
    <t>Home &gt; Contacto</t>
  </si>
  <si>
    <t xml:space="preserve">Home &gt;  Accesibilidad </t>
  </si>
  <si>
    <t xml:space="preserve">Home &gt; Aviso Legal - Privacidad </t>
  </si>
  <si>
    <t>Home &gt;  Mapa Web</t>
  </si>
  <si>
    <t>Sistema Operativo: Windows 11 Enterprise
Navegador: Google Chrome Versión 135.0.7049.42  (Build oficial) (64 bits)
Herramientas utilizadas: Tawdis, LightHouse, Wave, Color Contrast Analyzer, Headings map, Screen reader, Siteimprove, taba11y,  User CSS, Web Developer y  Axe DevTools</t>
  </si>
  <si>
    <t>https://www.comunidad.madrid/hospital/santacristina/sitemap</t>
  </si>
  <si>
    <t>Hospital Universitario Santa Cristina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</si>
</sst>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24" zoomScale="70" zoomScaleNormal="70" workbookViewId="0">
      <selection activeCell="D209" sqref="D209:D22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20</v>
      </c>
      <c r="H12" s="42">
        <f ca="1">IF(($G$15+$K$15)=0,0,G12/($G$15+$K$15))</f>
        <v>0.16666666666666666</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100</v>
      </c>
      <c r="H14" s="42">
        <f ca="1">IF(($G$15+$K$15)=0,0,G14/($G$15+$K$15))</f>
        <v>0.83333333333333337</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120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https://www.comunidad.madrid/hospital/santacristina/</v>
      </c>
      <c r="D19" s="99" t="s">
        <v>92</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https://www.comunidad.madrid/hospital/santacristina/ciudadanos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https://www.comunidad.madrid/hospital/santacristina/profesionales</v>
      </c>
      <c r="D21" s="99" t="s">
        <v>92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https://www.comunidad.madrid/hospital/santacristina/comunicacion</v>
      </c>
      <c r="D22" s="99" t="s">
        <v>92</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https://www.comunidad.madrid/hospital/santacristina/nosotros</v>
      </c>
      <c r="D23" s="99" t="s">
        <v>92</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https://www.comunidad.madrid/hospital/santacristina/buscar?search_api_fulltext=&amp;nombre=</v>
      </c>
      <c r="D24" s="99" t="s">
        <v>92</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ATENCIÓN AL PACIENTE</v>
      </c>
      <c r="C25" s="85" t="str" cm="1">
        <f t="array" ref="C25">IFERROR(INDEX('03.Muestra'!$F$8:$F$42,SMALL(IF("Página Web"='03.Muestra'!$D$8:$D$42,ROW('03.Muestra'!$F$8:$F$42)-MIN(ROW('03.Muestra'!$D$8:$D$42))+1,""),ROW()-18)),"")</f>
        <v>https://www.comunidad.madrid/hospital/santacristina/ciudadanos/atencion-paciente</v>
      </c>
      <c r="D25" s="99" t="s">
        <v>92</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ATENCIÓN ESPIRITUAL</v>
      </c>
      <c r="C26" s="85" t="str" cm="1">
        <f t="array" ref="C26">IFERROR(INDEX('03.Muestra'!$F$8:$F$42,SMALL(IF("Página Web"='03.Muestra'!$D$8:$D$42,ROW('03.Muestra'!$F$8:$F$42)-MIN(ROW('03.Muestra'!$D$8:$D$42))+1,""),ROW()-18)),"")</f>
        <v>https://www.comunidad.madrid/hospital/santacristina/ciudadanos/atencion-espiritual-religiosa</v>
      </c>
      <c r="D26" s="99" t="s">
        <v>92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LOCALIZACIÓN Y ACCESO</v>
      </c>
      <c r="C27" s="85" t="str" cm="1">
        <f t="array" ref="C27">IFERROR(INDEX('03.Muestra'!$F$8:$F$42,SMALL(IF("Página Web"='03.Muestra'!$D$8:$D$42,ROW('03.Muestra'!$F$8:$F$42)-MIN(ROW('03.Muestra'!$D$8:$D$42))+1,""),ROW()-18)),"")</f>
        <v>https://www.comunidad.madrid/hospital/santacristina/ciudadanos/localizacion-acceso</v>
      </c>
      <c r="D27" s="99" t="s">
        <v>92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GUÍAS DE USUARIO</v>
      </c>
      <c r="C28" s="85" t="str" cm="1">
        <f t="array" ref="C28">IFERROR(INDEX('03.Muestra'!$F$8:$F$42,SMALL(IF("Página Web"='03.Muestra'!$D$8:$D$42,ROW('03.Muestra'!$F$8:$F$42)-MIN(ROW('03.Muestra'!$D$8:$D$42))+1,""),ROW()-18)),"")</f>
        <v>https://www.comunidad.madrid/hospital/santacristina/ciudadanos/guias-usuario</v>
      </c>
      <c r="D28" s="99" t="s">
        <v>92</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SERVICIOS QUIRÚRGICOS</v>
      </c>
      <c r="C29" s="85" t="str" cm="1">
        <f t="array" ref="C29">IFERROR(INDEX('03.Muestra'!$F$8:$F$42,SMALL(IF("Página Web"='03.Muestra'!$D$8:$D$42,ROW('03.Muestra'!$F$8:$F$42)-MIN(ROW('03.Muestra'!$D$8:$D$42))+1,""),ROW()-18)),"")</f>
        <v>https://www.comunidad.madrid/hospital/santacristina/profesionales/servicios-quirurgicos-0</v>
      </c>
      <c r="D29" s="99" t="s">
        <v>92</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INVESTIGACIÓN</v>
      </c>
      <c r="C30" s="85" t="str" cm="1">
        <f t="array" ref="C30">IFERROR(INDEX('03.Muestra'!$F$8:$F$42,SMALL(IF("Página Web"='03.Muestra'!$D$8:$D$42,ROW('03.Muestra'!$F$8:$F$42)-MIN(ROW('03.Muestra'!$D$8:$D$42))+1,""),ROW()-18)),"")</f>
        <v>https://www.comunidad.madrid/hospital/santacristina/profesionales/investigacion-0</v>
      </c>
      <c r="D30" s="99" t="s">
        <v>92</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NOTICIAS</v>
      </c>
      <c r="C31" s="85" t="str" cm="1">
        <f t="array" ref="C31">IFERROR(INDEX('03.Muestra'!$F$8:$F$42,SMALL(IF("Página Web"='03.Muestra'!$D$8:$D$42,ROW('03.Muestra'!$F$8:$F$42)-MIN(ROW('03.Muestra'!$D$8:$D$42))+1,""),ROW()-18)),"")</f>
        <v>https://www.comunidad.madrid/hospital/santacristina/comunicacion/noticias</v>
      </c>
      <c r="D31" s="99" t="s">
        <v>92</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ACTOS DEL CENTENARIO</v>
      </c>
      <c r="C32" s="85" t="str" cm="1">
        <f t="array" ref="C32">IFERROR(INDEX('03.Muestra'!$F$8:$F$42,SMALL(IF("Página Web"='03.Muestra'!$D$8:$D$42,ROW('03.Muestra'!$F$8:$F$42)-MIN(ROW('03.Muestra'!$D$8:$D$42))+1,""),ROW()-18)),"")</f>
        <v>https://www.comunidad.madrid/hospital/santacristina/nosotros/actos-centenario</v>
      </c>
      <c r="D32" s="99" t="s">
        <v>92</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ACCESIBILIDAD HOSPITAL</v>
      </c>
      <c r="C33" s="85" t="str" cm="1">
        <f t="array" ref="C33">IFERROR(INDEX('03.Muestra'!$F$8:$F$42,SMALL(IF("Página Web"='03.Muestra'!$D$8:$D$42,ROW('03.Muestra'!$F$8:$F$42)-MIN(ROW('03.Muestra'!$D$8:$D$42))+1,""),ROW()-18)),"")</f>
        <v>https://www.comunidad.madrid/hospital/santacristina/nosotros/accesibilidad-hospital</v>
      </c>
      <c r="D33" s="99" t="s">
        <v>92</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CARTERA DE SERVICIOS</v>
      </c>
      <c r="C34" s="85" t="str" cm="1">
        <f t="array" ref="C34">IFERROR(INDEX('03.Muestra'!$F$8:$F$42,SMALL(IF("Página Web"='03.Muestra'!$D$8:$D$42,ROW('03.Muestra'!$F$8:$F$42)-MIN(ROW('03.Muestra'!$D$8:$D$42))+1,""),ROW()-18)),"")</f>
        <v>https://www.comunidad.madrid/hospital/santacristina/nosotros/cartera-servicios</v>
      </c>
      <c r="D34" s="99" t="s">
        <v>92</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CONTACTO</v>
      </c>
      <c r="C35" s="85" t="str" cm="1">
        <f t="array" ref="C35">IFERROR(INDEX('03.Muestra'!$F$8:$F$42,SMALL(IF("Página Web"='03.Muestra'!$D$8:$D$42,ROW('03.Muestra'!$F$8:$F$42)-MIN(ROW('03.Muestra'!$D$8:$D$42))+1,""),ROW()-18)),"")</f>
        <v>https://www.comunidad.madrid/hospital/santacristina/comunicacion/contacto</v>
      </c>
      <c r="D35" s="99" t="s">
        <v>92</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https://www.comunidad.madrid/hospital/santacristina/declaracion-accesibilidad</v>
      </c>
      <c r="D36" s="99" t="s">
        <v>92</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LEGAL</v>
      </c>
      <c r="C37" s="85" t="str" cm="1">
        <f t="array" ref="C37">IFERROR(INDEX('03.Muestra'!$F$8:$F$42,SMALL(IF("Página Web"='03.Muestra'!$D$8:$D$42,ROW('03.Muestra'!$F$8:$F$42)-MIN(ROW('03.Muestra'!$D$8:$D$42))+1,""),ROW()-18)),"")</f>
        <v>https://www.comunidad.madrid/hospital/santacristina/ciudadanos/aviso-legal-privacidad</v>
      </c>
      <c r="D37" s="99" t="s">
        <v>92</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MAPA WEB</v>
      </c>
      <c r="C38" s="85" t="str" cm="1">
        <f t="array" ref="C38">IFERROR(INDEX('03.Muestra'!$F$8:$F$42,SMALL(IF("Página Web"='03.Muestra'!$D$8:$D$42,ROW('03.Muestra'!$F$8:$F$42)-MIN(ROW('03.Muestra'!$D$8:$D$42))+1,""),ROW()-18)),"")</f>
        <v>https://www.comunidad.madrid/hospital/santacristina/sitemap</v>
      </c>
      <c r="D38" s="99" t="s">
        <v>92</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20: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https://www.comunidad.madrid/hospital/santacristina/</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https://www.comunidad.madrid/hospital/santacristina/ciudadanos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https://www.comunidad.madrid/hospital/santacristina/profesionales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https://www.comunidad.madrid/hospital/santacristina/comunicacion</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https://www.comunidad.madrid/hospital/santacristina/nosotros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https://www.comunidad.madrid/hospital/santacristina/buscar?search_api_fulltext=&amp;nombre=</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ATENCIÓN AL PACIENTE</v>
      </c>
      <c r="C63" s="85" t="str" cm="1">
        <f t="array" ref="C63">IFERROR(INDEX('03.Muestra'!$F$8:$F$42,SMALL(IF("Página Web"='03.Muestra'!$D$8:$D$42,ROW('03.Muestra'!$F$8:$F$42)-MIN(ROW('03.Muestra'!$D$8:$D$42))+1,""),ROW()-56)),"")</f>
        <v>https://www.comunidad.madrid/hospital/santacristina/ciudadanos/atencion-paciente</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ATENCIÓN ESPIRITUAL</v>
      </c>
      <c r="C64" s="85" t="str" cm="1">
        <f t="array" ref="C64">IFERROR(INDEX('03.Muestra'!$F$8:$F$42,SMALL(IF("Página Web"='03.Muestra'!$D$8:$D$42,ROW('03.Muestra'!$F$8:$F$42)-MIN(ROW('03.Muestra'!$D$8:$D$42))+1,""),ROW()-56)),"")</f>
        <v>https://www.comunidad.madrid/hospital/santacristina/ciudadanos/atencion-espiritual-religiosa</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LOCALIZACIÓN Y ACCESO</v>
      </c>
      <c r="C65" s="85" t="str" cm="1">
        <f t="array" ref="C65">IFERROR(INDEX('03.Muestra'!$F$8:$F$42,SMALL(IF("Página Web"='03.Muestra'!$D$8:$D$42,ROW('03.Muestra'!$F$8:$F$42)-MIN(ROW('03.Muestra'!$D$8:$D$42))+1,""),ROW()-56)),"")</f>
        <v>https://www.comunidad.madrid/hospital/santacristina/ciudadanos/localizacion-acceso</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GUÍAS DE USUARIO</v>
      </c>
      <c r="C66" s="85" t="str" cm="1">
        <f t="array" ref="C66">IFERROR(INDEX('03.Muestra'!$F$8:$F$42,SMALL(IF("Página Web"='03.Muestra'!$D$8:$D$42,ROW('03.Muestra'!$F$8:$F$42)-MIN(ROW('03.Muestra'!$D$8:$D$42))+1,""),ROW()-56)),"")</f>
        <v>https://www.comunidad.madrid/hospital/santacristina/ciudadanos/guias-usuario</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SERVICIOS QUIRÚRGICOS</v>
      </c>
      <c r="C67" s="85" t="str" cm="1">
        <f t="array" ref="C67">IFERROR(INDEX('03.Muestra'!$F$8:$F$42,SMALL(IF("Página Web"='03.Muestra'!$D$8:$D$42,ROW('03.Muestra'!$F$8:$F$42)-MIN(ROW('03.Muestra'!$D$8:$D$42))+1,""),ROW()-56)),"")</f>
        <v>https://www.comunidad.madrid/hospital/santacristina/profesionales/servicios-quirurgicos-0</v>
      </c>
      <c r="D67" s="99" t="s">
        <v>104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INVESTIGACIÓN</v>
      </c>
      <c r="C68" s="85" t="str" cm="1">
        <f t="array" ref="C68">IFERROR(INDEX('03.Muestra'!$F$8:$F$42,SMALL(IF("Página Web"='03.Muestra'!$D$8:$D$42,ROW('03.Muestra'!$F$8:$F$42)-MIN(ROW('03.Muestra'!$D$8:$D$42))+1,""),ROW()-56)),"")</f>
        <v>https://www.comunidad.madrid/hospital/santacristina/profesionales/investigacion-0</v>
      </c>
      <c r="D68" s="99" t="s">
        <v>104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NOTICIAS</v>
      </c>
      <c r="C69" s="85" t="str" cm="1">
        <f t="array" ref="C69">IFERROR(INDEX('03.Muestra'!$F$8:$F$42,SMALL(IF("Página Web"='03.Muestra'!$D$8:$D$42,ROW('03.Muestra'!$F$8:$F$42)-MIN(ROW('03.Muestra'!$D$8:$D$42))+1,""),ROW()-56)),"")</f>
        <v>https://www.comunidad.madrid/hospital/santacristina/comunicacion/noticias</v>
      </c>
      <c r="D69" s="99" t="s">
        <v>104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ACTOS DEL CENTENARIO</v>
      </c>
      <c r="C70" s="85" t="str" cm="1">
        <f t="array" ref="C70">IFERROR(INDEX('03.Muestra'!$F$8:$F$42,SMALL(IF("Página Web"='03.Muestra'!$D$8:$D$42,ROW('03.Muestra'!$F$8:$F$42)-MIN(ROW('03.Muestra'!$D$8:$D$42))+1,""),ROW()-56)),"")</f>
        <v>https://www.comunidad.madrid/hospital/santacristina/nosotros/actos-centenario</v>
      </c>
      <c r="D70" s="99" t="s">
        <v>104</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ACCESIBILIDAD HOSPITAL</v>
      </c>
      <c r="C71" s="85" t="str" cm="1">
        <f t="array" ref="C71">IFERROR(INDEX('03.Muestra'!$F$8:$F$42,SMALL(IF("Página Web"='03.Muestra'!$D$8:$D$42,ROW('03.Muestra'!$F$8:$F$42)-MIN(ROW('03.Muestra'!$D$8:$D$42))+1,""),ROW()-56)),"")</f>
        <v>https://www.comunidad.madrid/hospital/santacristina/nosotros/accesibilidad-hospital</v>
      </c>
      <c r="D71" s="99" t="s">
        <v>104</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CARTERA DE SERVICIOS</v>
      </c>
      <c r="C72" s="85" t="str" cm="1">
        <f t="array" ref="C72">IFERROR(INDEX('03.Muestra'!$F$8:$F$42,SMALL(IF("Página Web"='03.Muestra'!$D$8:$D$42,ROW('03.Muestra'!$F$8:$F$42)-MIN(ROW('03.Muestra'!$D$8:$D$42))+1,""),ROW()-56)),"")</f>
        <v>https://www.comunidad.madrid/hospital/santacristina/nosotros/cartera-servicios</v>
      </c>
      <c r="D72" s="99" t="s">
        <v>104</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CONTACTO</v>
      </c>
      <c r="C73" s="85" t="str" cm="1">
        <f t="array" ref="C73">IFERROR(INDEX('03.Muestra'!$F$8:$F$42,SMALL(IF("Página Web"='03.Muestra'!$D$8:$D$42,ROW('03.Muestra'!$F$8:$F$42)-MIN(ROW('03.Muestra'!$D$8:$D$42))+1,""),ROW()-56)),"")</f>
        <v>https://www.comunidad.madrid/hospital/santacristina/comunicacion/contacto</v>
      </c>
      <c r="D73" s="99" t="s">
        <v>104</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https://www.comunidad.madrid/hospital/santacristina/declaracion-accesibilidad</v>
      </c>
      <c r="D74" s="99" t="s">
        <v>104</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LEGAL</v>
      </c>
      <c r="C75" s="85" t="str" cm="1">
        <f t="array" ref="C75">IFERROR(INDEX('03.Muestra'!$F$8:$F$42,SMALL(IF("Página Web"='03.Muestra'!$D$8:$D$42,ROW('03.Muestra'!$F$8:$F$42)-MIN(ROW('03.Muestra'!$D$8:$D$42))+1,""),ROW()-56)),"")</f>
        <v>https://www.comunidad.madrid/hospital/santacristina/ciudadanos/aviso-legal-privacidad</v>
      </c>
      <c r="D75" s="99" t="s">
        <v>104</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MAPA WEB</v>
      </c>
      <c r="C76" s="85" t="str" cm="1">
        <f t="array" ref="C76">IFERROR(INDEX('03.Muestra'!$F$8:$F$42,SMALL(IF("Página Web"='03.Muestra'!$D$8:$D$42,ROW('03.Muestra'!$F$8:$F$42)-MIN(ROW('03.Muestra'!$D$8:$D$42))+1,""),ROW()-56)),"")</f>
        <v>https://www.comunidad.madrid/hospital/santacristina/sitemap</v>
      </c>
      <c r="D76" s="99" t="s">
        <v>104</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58: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https://www.comunidad.madrid/hospital/santacristina/</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https://www.comunidad.madrid/hospital/santacristina/ciudadanos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https://www.comunidad.madrid/hospital/santacristina/profesionales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https://www.comunidad.madrid/hospital/santacristina/comunicacion</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https://www.comunidad.madrid/hospital/santacristina/nosotros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https://www.comunidad.madrid/hospital/santacristina/buscar?search_api_fulltext=&amp;nombre=</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ATENCIÓN AL PACIENTE</v>
      </c>
      <c r="C101" s="85" t="str" cm="1">
        <f t="array" ref="C101">IFERROR(INDEX('03.Muestra'!$F$8:$F$42,SMALL(IF("Página Web"='03.Muestra'!$D$8:$D$42,ROW('03.Muestra'!$F$8:$F$42)-MIN(ROW('03.Muestra'!$D$8:$D$42))+1,""),ROW()-94)),"")</f>
        <v>https://www.comunidad.madrid/hospital/santacristina/ciudadanos/atencion-paciente</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ATENCIÓN ESPIRITUAL</v>
      </c>
      <c r="C102" s="85" t="str" cm="1">
        <f t="array" ref="C102">IFERROR(INDEX('03.Muestra'!$F$8:$F$42,SMALL(IF("Página Web"='03.Muestra'!$D$8:$D$42,ROW('03.Muestra'!$F$8:$F$42)-MIN(ROW('03.Muestra'!$D$8:$D$42))+1,""),ROW()-94)),"")</f>
        <v>https://www.comunidad.madrid/hospital/santacristina/ciudadanos/atencion-espiritual-religiosa</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LOCALIZACIÓN Y ACCESO</v>
      </c>
      <c r="C103" s="85" t="str" cm="1">
        <f t="array" ref="C103">IFERROR(INDEX('03.Muestra'!$F$8:$F$42,SMALL(IF("Página Web"='03.Muestra'!$D$8:$D$42,ROW('03.Muestra'!$F$8:$F$42)-MIN(ROW('03.Muestra'!$D$8:$D$42))+1,""),ROW()-94)),"")</f>
        <v>https://www.comunidad.madrid/hospital/santacristina/ciudadanos/localizacion-acceso</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GUÍAS DE USUARIO</v>
      </c>
      <c r="C104" s="85" t="str" cm="1">
        <f t="array" ref="C104">IFERROR(INDEX('03.Muestra'!$F$8:$F$42,SMALL(IF("Página Web"='03.Muestra'!$D$8:$D$42,ROW('03.Muestra'!$F$8:$F$42)-MIN(ROW('03.Muestra'!$D$8:$D$42))+1,""),ROW()-94)),"")</f>
        <v>https://www.comunidad.madrid/hospital/santacristina/ciudadanos/guias-usuario</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SERVICIOS QUIRÚRGICOS</v>
      </c>
      <c r="C105" s="85" t="str" cm="1">
        <f t="array" ref="C105">IFERROR(INDEX('03.Muestra'!$F$8:$F$42,SMALL(IF("Página Web"='03.Muestra'!$D$8:$D$42,ROW('03.Muestra'!$F$8:$F$42)-MIN(ROW('03.Muestra'!$D$8:$D$42))+1,""),ROW()-94)),"")</f>
        <v>https://www.comunidad.madrid/hospital/santacristina/profesionales/servicios-quirurgicos-0</v>
      </c>
      <c r="D105" s="99" t="s">
        <v>104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INVESTIGACIÓN</v>
      </c>
      <c r="C106" s="85" t="str" cm="1">
        <f t="array" ref="C106">IFERROR(INDEX('03.Muestra'!$F$8:$F$42,SMALL(IF("Página Web"='03.Muestra'!$D$8:$D$42,ROW('03.Muestra'!$F$8:$F$42)-MIN(ROW('03.Muestra'!$D$8:$D$42))+1,""),ROW()-94)),"")</f>
        <v>https://www.comunidad.madrid/hospital/santacristina/profesionales/investigacion-0</v>
      </c>
      <c r="D106" s="99" t="s">
        <v>104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NOTICIAS</v>
      </c>
      <c r="C107" s="85" t="str" cm="1">
        <f t="array" ref="C107">IFERROR(INDEX('03.Muestra'!$F$8:$F$42,SMALL(IF("Página Web"='03.Muestra'!$D$8:$D$42,ROW('03.Muestra'!$F$8:$F$42)-MIN(ROW('03.Muestra'!$D$8:$D$42))+1,""),ROW()-94)),"")</f>
        <v>https://www.comunidad.madrid/hospital/santacristina/comunicacion/noticias</v>
      </c>
      <c r="D107" s="99" t="s">
        <v>104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ACTOS DEL CENTENARIO</v>
      </c>
      <c r="C108" s="85" t="str" cm="1">
        <f t="array" ref="C108">IFERROR(INDEX('03.Muestra'!$F$8:$F$42,SMALL(IF("Página Web"='03.Muestra'!$D$8:$D$42,ROW('03.Muestra'!$F$8:$F$42)-MIN(ROW('03.Muestra'!$D$8:$D$42))+1,""),ROW()-94)),"")</f>
        <v>https://www.comunidad.madrid/hospital/santacristina/nosotros/actos-centenario</v>
      </c>
      <c r="D108" s="99" t="s">
        <v>104</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ACCESIBILIDAD HOSPITAL</v>
      </c>
      <c r="C109" s="85" t="str" cm="1">
        <f t="array" ref="C109">IFERROR(INDEX('03.Muestra'!$F$8:$F$42,SMALL(IF("Página Web"='03.Muestra'!$D$8:$D$42,ROW('03.Muestra'!$F$8:$F$42)-MIN(ROW('03.Muestra'!$D$8:$D$42))+1,""),ROW()-94)),"")</f>
        <v>https://www.comunidad.madrid/hospital/santacristina/nosotros/accesibilidad-hospital</v>
      </c>
      <c r="D109" s="99" t="s">
        <v>104</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CARTERA DE SERVICIOS</v>
      </c>
      <c r="C110" s="85" t="str" cm="1">
        <f t="array" ref="C110">IFERROR(INDEX('03.Muestra'!$F$8:$F$42,SMALL(IF("Página Web"='03.Muestra'!$D$8:$D$42,ROW('03.Muestra'!$F$8:$F$42)-MIN(ROW('03.Muestra'!$D$8:$D$42))+1,""),ROW()-94)),"")</f>
        <v>https://www.comunidad.madrid/hospital/santacristina/nosotros/cartera-servicios</v>
      </c>
      <c r="D110" s="99" t="s">
        <v>104</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CONTACTO</v>
      </c>
      <c r="C111" s="85" t="str" cm="1">
        <f t="array" ref="C111">IFERROR(INDEX('03.Muestra'!$F$8:$F$42,SMALL(IF("Página Web"='03.Muestra'!$D$8:$D$42,ROW('03.Muestra'!$F$8:$F$42)-MIN(ROW('03.Muestra'!$D$8:$D$42))+1,""),ROW()-94)),"")</f>
        <v>https://www.comunidad.madrid/hospital/santacristina/comunicacion/contacto</v>
      </c>
      <c r="D111" s="99" t="s">
        <v>104</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https://www.comunidad.madrid/hospital/santacristina/declaracion-accesibilidad</v>
      </c>
      <c r="D112" s="99" t="s">
        <v>104</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LEGAL</v>
      </c>
      <c r="C113" s="85" t="str" cm="1">
        <f t="array" ref="C113">IFERROR(INDEX('03.Muestra'!$F$8:$F$42,SMALL(IF("Página Web"='03.Muestra'!$D$8:$D$42,ROW('03.Muestra'!$F$8:$F$42)-MIN(ROW('03.Muestra'!$D$8:$D$42))+1,""),ROW()-94)),"")</f>
        <v>https://www.comunidad.madrid/hospital/santacristina/ciudadanos/aviso-legal-privacidad</v>
      </c>
      <c r="D113" s="99" t="s">
        <v>104</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MAPA WEB</v>
      </c>
      <c r="C114" s="85" t="str" cm="1">
        <f t="array" ref="C114">IFERROR(INDEX('03.Muestra'!$F$8:$F$42,SMALL(IF("Página Web"='03.Muestra'!$D$8:$D$42,ROW('03.Muestra'!$F$8:$F$42)-MIN(ROW('03.Muestra'!$D$8:$D$42))+1,""),ROW()-94)),"")</f>
        <v>https://www.comunidad.madrid/hospital/santacristina/sitemap</v>
      </c>
      <c r="D114" s="99" t="s">
        <v>104</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96: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https://www.comunidad.madrid/hospital/santacristina/</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https://www.comunidad.madrid/hospital/santacristina/ciudadanos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https://www.comunidad.madrid/hospital/santacristina/profesionales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https://www.comunidad.madrid/hospital/santacristina/comunicacion</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https://www.comunidad.madrid/hospital/santacristina/nosotros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https://www.comunidad.madrid/hospital/santacristina/buscar?search_api_fulltext=&amp;nombre=</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ATENCIÓN AL PACIENTE</v>
      </c>
      <c r="C139" s="85" t="str" cm="1">
        <f t="array" ref="C139">IFERROR(INDEX('03.Muestra'!$F$8:$F$42,SMALL(IF("Página Web"='03.Muestra'!$D$8:$D$42,ROW('03.Muestra'!$F$8:$F$42)-MIN(ROW('03.Muestra'!$D$8:$D$42))+1,""),ROW()-132)),"")</f>
        <v>https://www.comunidad.madrid/hospital/santacristina/ciudadanos/atencion-paciente</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ATENCIÓN ESPIRITUAL</v>
      </c>
      <c r="C140" s="85" t="str" cm="1">
        <f t="array" ref="C140">IFERROR(INDEX('03.Muestra'!$F$8:$F$42,SMALL(IF("Página Web"='03.Muestra'!$D$8:$D$42,ROW('03.Muestra'!$F$8:$F$42)-MIN(ROW('03.Muestra'!$D$8:$D$42))+1,""),ROW()-132)),"")</f>
        <v>https://www.comunidad.madrid/hospital/santacristina/ciudadanos/atencion-espiritual-religiosa</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LOCALIZACIÓN Y ACCESO</v>
      </c>
      <c r="C141" s="85" t="str" cm="1">
        <f t="array" ref="C141">IFERROR(INDEX('03.Muestra'!$F$8:$F$42,SMALL(IF("Página Web"='03.Muestra'!$D$8:$D$42,ROW('03.Muestra'!$F$8:$F$42)-MIN(ROW('03.Muestra'!$D$8:$D$42))+1,""),ROW()-132)),"")</f>
        <v>https://www.comunidad.madrid/hospital/santacristina/ciudadanos/localizacion-acceso</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GUÍAS DE USUARIO</v>
      </c>
      <c r="C142" s="85" t="str" cm="1">
        <f t="array" ref="C142">IFERROR(INDEX('03.Muestra'!$F$8:$F$42,SMALL(IF("Página Web"='03.Muestra'!$D$8:$D$42,ROW('03.Muestra'!$F$8:$F$42)-MIN(ROW('03.Muestra'!$D$8:$D$42))+1,""),ROW()-132)),"")</f>
        <v>https://www.comunidad.madrid/hospital/santacristina/ciudadanos/guias-usuario</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SERVICIOS QUIRÚRGICOS</v>
      </c>
      <c r="C143" s="85" t="str" cm="1">
        <f t="array" ref="C143">IFERROR(INDEX('03.Muestra'!$F$8:$F$42,SMALL(IF("Página Web"='03.Muestra'!$D$8:$D$42,ROW('03.Muestra'!$F$8:$F$42)-MIN(ROW('03.Muestra'!$D$8:$D$42))+1,""),ROW()-132)),"")</f>
        <v>https://www.comunidad.madrid/hospital/santacristina/profesionales/servicios-quirurgicos-0</v>
      </c>
      <c r="D143" s="99" t="s">
        <v>104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INVESTIGACIÓN</v>
      </c>
      <c r="C144" s="85" t="str" cm="1">
        <f t="array" ref="C144">IFERROR(INDEX('03.Muestra'!$F$8:$F$42,SMALL(IF("Página Web"='03.Muestra'!$D$8:$D$42,ROW('03.Muestra'!$F$8:$F$42)-MIN(ROW('03.Muestra'!$D$8:$D$42))+1,""),ROW()-132)),"")</f>
        <v>https://www.comunidad.madrid/hospital/santacristina/profesionales/investigacion-0</v>
      </c>
      <c r="D144" s="99" t="s">
        <v>104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NOTICIAS</v>
      </c>
      <c r="C145" s="85" t="str" cm="1">
        <f t="array" ref="C145">IFERROR(INDEX('03.Muestra'!$F$8:$F$42,SMALL(IF("Página Web"='03.Muestra'!$D$8:$D$42,ROW('03.Muestra'!$F$8:$F$42)-MIN(ROW('03.Muestra'!$D$8:$D$42))+1,""),ROW()-132)),"")</f>
        <v>https://www.comunidad.madrid/hospital/santacristina/comunicacion/noticias</v>
      </c>
      <c r="D145" s="99" t="s">
        <v>104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ACTOS DEL CENTENARIO</v>
      </c>
      <c r="C146" s="85" t="str" cm="1">
        <f t="array" ref="C146">IFERROR(INDEX('03.Muestra'!$F$8:$F$42,SMALL(IF("Página Web"='03.Muestra'!$D$8:$D$42,ROW('03.Muestra'!$F$8:$F$42)-MIN(ROW('03.Muestra'!$D$8:$D$42))+1,""),ROW()-132)),"")</f>
        <v>https://www.comunidad.madrid/hospital/santacristina/nosotros/actos-centenario</v>
      </c>
      <c r="D146" s="99" t="s">
        <v>104</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ACCESIBILIDAD HOSPITAL</v>
      </c>
      <c r="C147" s="85" t="str" cm="1">
        <f t="array" ref="C147">IFERROR(INDEX('03.Muestra'!$F$8:$F$42,SMALL(IF("Página Web"='03.Muestra'!$D$8:$D$42,ROW('03.Muestra'!$F$8:$F$42)-MIN(ROW('03.Muestra'!$D$8:$D$42))+1,""),ROW()-132)),"")</f>
        <v>https://www.comunidad.madrid/hospital/santacristina/nosotros/accesibilidad-hospital</v>
      </c>
      <c r="D147" s="99" t="s">
        <v>104</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CARTERA DE SERVICIOS</v>
      </c>
      <c r="C148" s="85" t="str" cm="1">
        <f t="array" ref="C148">IFERROR(INDEX('03.Muestra'!$F$8:$F$42,SMALL(IF("Página Web"='03.Muestra'!$D$8:$D$42,ROW('03.Muestra'!$F$8:$F$42)-MIN(ROW('03.Muestra'!$D$8:$D$42))+1,""),ROW()-132)),"")</f>
        <v>https://www.comunidad.madrid/hospital/santacristina/nosotros/cartera-servicios</v>
      </c>
      <c r="D148" s="99" t="s">
        <v>104</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CONTACTO</v>
      </c>
      <c r="C149" s="85" t="str" cm="1">
        <f t="array" ref="C149">IFERROR(INDEX('03.Muestra'!$F$8:$F$42,SMALL(IF("Página Web"='03.Muestra'!$D$8:$D$42,ROW('03.Muestra'!$F$8:$F$42)-MIN(ROW('03.Muestra'!$D$8:$D$42))+1,""),ROW()-132)),"")</f>
        <v>https://www.comunidad.madrid/hospital/santacristina/comunicacion/contacto</v>
      </c>
      <c r="D149" s="99" t="s">
        <v>104</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https://www.comunidad.madrid/hospital/santacristina/declaracion-accesibilidad</v>
      </c>
      <c r="D150" s="99" t="s">
        <v>104</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LEGAL</v>
      </c>
      <c r="C151" s="85" t="str" cm="1">
        <f t="array" ref="C151">IFERROR(INDEX('03.Muestra'!$F$8:$F$42,SMALL(IF("Página Web"='03.Muestra'!$D$8:$D$42,ROW('03.Muestra'!$F$8:$F$42)-MIN(ROW('03.Muestra'!$D$8:$D$42))+1,""),ROW()-132)),"")</f>
        <v>https://www.comunidad.madrid/hospital/santacristina/ciudadanos/aviso-legal-privacidad</v>
      </c>
      <c r="D151" s="99" t="s">
        <v>104</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MAPA WEB</v>
      </c>
      <c r="C152" s="85" t="str" cm="1">
        <f t="array" ref="C152">IFERROR(INDEX('03.Muestra'!$F$8:$F$42,SMALL(IF("Página Web"='03.Muestra'!$D$8:$D$42,ROW('03.Muestra'!$F$8:$F$42)-MIN(ROW('03.Muestra'!$D$8:$D$42))+1,""),ROW()-132)),"")</f>
        <v>https://www.comunidad.madrid/hospital/santacristina/sitemap</v>
      </c>
      <c r="D152" s="99" t="s">
        <v>104</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34: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https://www.comunidad.madrid/hospital/santacristina/</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https://www.comunidad.madrid/hospital/santacristina/ciudadanos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https://www.comunidad.madrid/hospital/santacristina/profesionales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https://www.comunidad.madrid/hospital/santacristina/comunicacion</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https://www.comunidad.madrid/hospital/santacristina/nosotros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https://www.comunidad.madrid/hospital/santacristina/buscar?search_api_fulltext=&amp;nombre=</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ATENCIÓN AL PACIENTE</v>
      </c>
      <c r="C177" s="85" t="str" cm="1">
        <f t="array" ref="C177">IFERROR(INDEX('03.Muestra'!$F$8:$F$42,SMALL(IF("Página Web"='03.Muestra'!$D$8:$D$42,ROW('03.Muestra'!$F$8:$F$42)-MIN(ROW('03.Muestra'!$D$8:$D$42))+1,""),ROW()-170)),"")</f>
        <v>https://www.comunidad.madrid/hospital/santacristina/ciudadanos/atencion-paciente</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ATENCIÓN ESPIRITUAL</v>
      </c>
      <c r="C178" s="85" t="str" cm="1">
        <f t="array" ref="C178">IFERROR(INDEX('03.Muestra'!$F$8:$F$42,SMALL(IF("Página Web"='03.Muestra'!$D$8:$D$42,ROW('03.Muestra'!$F$8:$F$42)-MIN(ROW('03.Muestra'!$D$8:$D$42))+1,""),ROW()-170)),"")</f>
        <v>https://www.comunidad.madrid/hospital/santacristina/ciudadanos/atencion-espiritual-religiosa</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LOCALIZACIÓN Y ACCESO</v>
      </c>
      <c r="C179" s="85" t="str" cm="1">
        <f t="array" ref="C179">IFERROR(INDEX('03.Muestra'!$F$8:$F$42,SMALL(IF("Página Web"='03.Muestra'!$D$8:$D$42,ROW('03.Muestra'!$F$8:$F$42)-MIN(ROW('03.Muestra'!$D$8:$D$42))+1,""),ROW()-170)),"")</f>
        <v>https://www.comunidad.madrid/hospital/santacristina/ciudadanos/localizacion-acceso</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GUÍAS DE USUARIO</v>
      </c>
      <c r="C180" s="85" t="str" cm="1">
        <f t="array" ref="C180">IFERROR(INDEX('03.Muestra'!$F$8:$F$42,SMALL(IF("Página Web"='03.Muestra'!$D$8:$D$42,ROW('03.Muestra'!$F$8:$F$42)-MIN(ROW('03.Muestra'!$D$8:$D$42))+1,""),ROW()-170)),"")</f>
        <v>https://www.comunidad.madrid/hospital/santacristina/ciudadanos/guias-usuario</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SERVICIOS QUIRÚRGICOS</v>
      </c>
      <c r="C181" s="85" t="str" cm="1">
        <f t="array" ref="C181">IFERROR(INDEX('03.Muestra'!$F$8:$F$42,SMALL(IF("Página Web"='03.Muestra'!$D$8:$D$42,ROW('03.Muestra'!$F$8:$F$42)-MIN(ROW('03.Muestra'!$D$8:$D$42))+1,""),ROW()-170)),"")</f>
        <v>https://www.comunidad.madrid/hospital/santacristina/profesionales/servicios-quirurgicos-0</v>
      </c>
      <c r="D181" s="99" t="s">
        <v>104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INVESTIGACIÓN</v>
      </c>
      <c r="C182" s="85" t="str" cm="1">
        <f t="array" ref="C182">IFERROR(INDEX('03.Muestra'!$F$8:$F$42,SMALL(IF("Página Web"='03.Muestra'!$D$8:$D$42,ROW('03.Muestra'!$F$8:$F$42)-MIN(ROW('03.Muestra'!$D$8:$D$42))+1,""),ROW()-170)),"")</f>
        <v>https://www.comunidad.madrid/hospital/santacristina/profesionales/investigacion-0</v>
      </c>
      <c r="D182" s="99" t="s">
        <v>104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NOTICIAS</v>
      </c>
      <c r="C183" s="85" t="str" cm="1">
        <f t="array" ref="C183">IFERROR(INDEX('03.Muestra'!$F$8:$F$42,SMALL(IF("Página Web"='03.Muestra'!$D$8:$D$42,ROW('03.Muestra'!$F$8:$F$42)-MIN(ROW('03.Muestra'!$D$8:$D$42))+1,""),ROW()-170)),"")</f>
        <v>https://www.comunidad.madrid/hospital/santacristina/comunicacion/noticias</v>
      </c>
      <c r="D183" s="99" t="s">
        <v>104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ACTOS DEL CENTENARIO</v>
      </c>
      <c r="C184" s="85" t="str" cm="1">
        <f t="array" ref="C184">IFERROR(INDEX('03.Muestra'!$F$8:$F$42,SMALL(IF("Página Web"='03.Muestra'!$D$8:$D$42,ROW('03.Muestra'!$F$8:$F$42)-MIN(ROW('03.Muestra'!$D$8:$D$42))+1,""),ROW()-170)),"")</f>
        <v>https://www.comunidad.madrid/hospital/santacristina/nosotros/actos-centenario</v>
      </c>
      <c r="D184" s="99" t="s">
        <v>104</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ACCESIBILIDAD HOSPITAL</v>
      </c>
      <c r="C185" s="85" t="str" cm="1">
        <f t="array" ref="C185">IFERROR(INDEX('03.Muestra'!$F$8:$F$42,SMALL(IF("Página Web"='03.Muestra'!$D$8:$D$42,ROW('03.Muestra'!$F$8:$F$42)-MIN(ROW('03.Muestra'!$D$8:$D$42))+1,""),ROW()-170)),"")</f>
        <v>https://www.comunidad.madrid/hospital/santacristina/nosotros/accesibilidad-hospital</v>
      </c>
      <c r="D185" s="99" t="s">
        <v>104</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CARTERA DE SERVICIOS</v>
      </c>
      <c r="C186" s="85" t="str" cm="1">
        <f t="array" ref="C186">IFERROR(INDEX('03.Muestra'!$F$8:$F$42,SMALL(IF("Página Web"='03.Muestra'!$D$8:$D$42,ROW('03.Muestra'!$F$8:$F$42)-MIN(ROW('03.Muestra'!$D$8:$D$42))+1,""),ROW()-170)),"")</f>
        <v>https://www.comunidad.madrid/hospital/santacristina/nosotros/cartera-servicios</v>
      </c>
      <c r="D186" s="99" t="s">
        <v>104</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CONTACTO</v>
      </c>
      <c r="C187" s="85" t="str" cm="1">
        <f t="array" ref="C187">IFERROR(INDEX('03.Muestra'!$F$8:$F$42,SMALL(IF("Página Web"='03.Muestra'!$D$8:$D$42,ROW('03.Muestra'!$F$8:$F$42)-MIN(ROW('03.Muestra'!$D$8:$D$42))+1,""),ROW()-170)),"")</f>
        <v>https://www.comunidad.madrid/hospital/santacristina/comunicacion/contacto</v>
      </c>
      <c r="D187" s="99" t="s">
        <v>104</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https://www.comunidad.madrid/hospital/santacristina/declaracion-accesibilidad</v>
      </c>
      <c r="D188" s="99" t="s">
        <v>104</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LEGAL</v>
      </c>
      <c r="C189" s="85" t="str" cm="1">
        <f t="array" ref="C189">IFERROR(INDEX('03.Muestra'!$F$8:$F$42,SMALL(IF("Página Web"='03.Muestra'!$D$8:$D$42,ROW('03.Muestra'!$F$8:$F$42)-MIN(ROW('03.Muestra'!$D$8:$D$42))+1,""),ROW()-170)),"")</f>
        <v>https://www.comunidad.madrid/hospital/santacristina/ciudadanos/aviso-legal-privacidad</v>
      </c>
      <c r="D189" s="99" t="s">
        <v>104</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MAPA WEB</v>
      </c>
      <c r="C190" s="85" t="str" cm="1">
        <f t="array" ref="C190">IFERROR(INDEX('03.Muestra'!$F$8:$F$42,SMALL(IF("Página Web"='03.Muestra'!$D$8:$D$42,ROW('03.Muestra'!$F$8:$F$42)-MIN(ROW('03.Muestra'!$D$8:$D$42))+1,""),ROW()-170)),"")</f>
        <v>https://www.comunidad.madrid/hospital/santacristina/sitemap</v>
      </c>
      <c r="D190" s="99" t="s">
        <v>104</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72: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https://www.comunidad.madrid/hospital/santacristina/</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https://www.comunidad.madrid/hospital/santacristina/ciudadanos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https://www.comunidad.madrid/hospital/santacristina/profesionales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https://www.comunidad.madrid/hospital/santacristina/comunicacion</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https://www.comunidad.madrid/hospital/santacristina/nosotros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https://www.comunidad.madrid/hospital/santacristina/buscar?search_api_fulltext=&amp;nombre=</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ATENCIÓN AL PACIENTE</v>
      </c>
      <c r="C215" s="85" t="str" cm="1">
        <f t="array" ref="C215">IFERROR(INDEX('03.Muestra'!$F$8:$F$42,SMALL(IF("Página Web"='03.Muestra'!$D$8:$D$42,ROW('03.Muestra'!$F$8:$F$42)-MIN(ROW('03.Muestra'!$D$8:$D$42))+1,""),ROW()-208)),"")</f>
        <v>https://www.comunidad.madrid/hospital/santacristina/ciudadanos/atencion-paciente</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ATENCIÓN ESPIRITUAL</v>
      </c>
      <c r="C216" s="85" t="str" cm="1">
        <f t="array" ref="C216">IFERROR(INDEX('03.Muestra'!$F$8:$F$42,SMALL(IF("Página Web"='03.Muestra'!$D$8:$D$42,ROW('03.Muestra'!$F$8:$F$42)-MIN(ROW('03.Muestra'!$D$8:$D$42))+1,""),ROW()-208)),"")</f>
        <v>https://www.comunidad.madrid/hospital/santacristina/ciudadanos/atencion-espiritual-religiosa</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LOCALIZACIÓN Y ACCESO</v>
      </c>
      <c r="C217" s="85" t="str" cm="1">
        <f t="array" ref="C217">IFERROR(INDEX('03.Muestra'!$F$8:$F$42,SMALL(IF("Página Web"='03.Muestra'!$D$8:$D$42,ROW('03.Muestra'!$F$8:$F$42)-MIN(ROW('03.Muestra'!$D$8:$D$42))+1,""),ROW()-208)),"")</f>
        <v>https://www.comunidad.madrid/hospital/santacristina/ciudadanos/localizacion-acceso</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GUÍAS DE USUARIO</v>
      </c>
      <c r="C218" s="85" t="str" cm="1">
        <f t="array" ref="C218">IFERROR(INDEX('03.Muestra'!$F$8:$F$42,SMALL(IF("Página Web"='03.Muestra'!$D$8:$D$42,ROW('03.Muestra'!$F$8:$F$42)-MIN(ROW('03.Muestra'!$D$8:$D$42))+1,""),ROW()-208)),"")</f>
        <v>https://www.comunidad.madrid/hospital/santacristina/ciudadanos/guias-usuario</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SERVICIOS QUIRÚRGICOS</v>
      </c>
      <c r="C219" s="85" t="str" cm="1">
        <f t="array" ref="C219">IFERROR(INDEX('03.Muestra'!$F$8:$F$42,SMALL(IF("Página Web"='03.Muestra'!$D$8:$D$42,ROW('03.Muestra'!$F$8:$F$42)-MIN(ROW('03.Muestra'!$D$8:$D$42))+1,""),ROW()-208)),"")</f>
        <v>https://www.comunidad.madrid/hospital/santacristina/profesionales/servicios-quirurgicos-0</v>
      </c>
      <c r="D219" s="99" t="s">
        <v>104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INVESTIGACIÓN</v>
      </c>
      <c r="C220" s="85" t="str" cm="1">
        <f t="array" ref="C220">IFERROR(INDEX('03.Muestra'!$F$8:$F$42,SMALL(IF("Página Web"='03.Muestra'!$D$8:$D$42,ROW('03.Muestra'!$F$8:$F$42)-MIN(ROW('03.Muestra'!$D$8:$D$42))+1,""),ROW()-208)),"")</f>
        <v>https://www.comunidad.madrid/hospital/santacristina/profesionales/investigacion-0</v>
      </c>
      <c r="D220" s="99" t="s">
        <v>104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NOTICIAS</v>
      </c>
      <c r="C221" s="85" t="str" cm="1">
        <f t="array" ref="C221">IFERROR(INDEX('03.Muestra'!$F$8:$F$42,SMALL(IF("Página Web"='03.Muestra'!$D$8:$D$42,ROW('03.Muestra'!$F$8:$F$42)-MIN(ROW('03.Muestra'!$D$8:$D$42))+1,""),ROW()-208)),"")</f>
        <v>https://www.comunidad.madrid/hospital/santacristina/comunicacion/noticias</v>
      </c>
      <c r="D221" s="99" t="s">
        <v>104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ACTOS DEL CENTENARIO</v>
      </c>
      <c r="C222" s="85" t="str" cm="1">
        <f t="array" ref="C222">IFERROR(INDEX('03.Muestra'!$F$8:$F$42,SMALL(IF("Página Web"='03.Muestra'!$D$8:$D$42,ROW('03.Muestra'!$F$8:$F$42)-MIN(ROW('03.Muestra'!$D$8:$D$42))+1,""),ROW()-208)),"")</f>
        <v>https://www.comunidad.madrid/hospital/santacristina/nosotros/actos-centenario</v>
      </c>
      <c r="D222" s="99" t="s">
        <v>104</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ACCESIBILIDAD HOSPITAL</v>
      </c>
      <c r="C223" s="85" t="str" cm="1">
        <f t="array" ref="C223">IFERROR(INDEX('03.Muestra'!$F$8:$F$42,SMALL(IF("Página Web"='03.Muestra'!$D$8:$D$42,ROW('03.Muestra'!$F$8:$F$42)-MIN(ROW('03.Muestra'!$D$8:$D$42))+1,""),ROW()-208)),"")</f>
        <v>https://www.comunidad.madrid/hospital/santacristina/nosotros/accesibilidad-hospital</v>
      </c>
      <c r="D223" s="99" t="s">
        <v>104</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CARTERA DE SERVICIOS</v>
      </c>
      <c r="C224" s="85" t="str" cm="1">
        <f t="array" ref="C224">IFERROR(INDEX('03.Muestra'!$F$8:$F$42,SMALL(IF("Página Web"='03.Muestra'!$D$8:$D$42,ROW('03.Muestra'!$F$8:$F$42)-MIN(ROW('03.Muestra'!$D$8:$D$42))+1,""),ROW()-208)),"")</f>
        <v>https://www.comunidad.madrid/hospital/santacristina/nosotros/cartera-servicios</v>
      </c>
      <c r="D224" s="99" t="s">
        <v>104</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CONTACTO</v>
      </c>
      <c r="C225" s="85" t="str" cm="1">
        <f t="array" ref="C225">IFERROR(INDEX('03.Muestra'!$F$8:$F$42,SMALL(IF("Página Web"='03.Muestra'!$D$8:$D$42,ROW('03.Muestra'!$F$8:$F$42)-MIN(ROW('03.Muestra'!$D$8:$D$42))+1,""),ROW()-208)),"")</f>
        <v>https://www.comunidad.madrid/hospital/santacristina/comunicacion/contacto</v>
      </c>
      <c r="D225" s="99" t="s">
        <v>104</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https://www.comunidad.madrid/hospital/santacristina/declaracion-accesibilidad</v>
      </c>
      <c r="D226" s="99" t="s">
        <v>104</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LEGAL</v>
      </c>
      <c r="C227" s="85" t="str" cm="1">
        <f t="array" ref="C227">IFERROR(INDEX('03.Muestra'!$F$8:$F$42,SMALL(IF("Página Web"='03.Muestra'!$D$8:$D$42,ROW('03.Muestra'!$F$8:$F$42)-MIN(ROW('03.Muestra'!$D$8:$D$42))+1,""),ROW()-208)),"")</f>
        <v>https://www.comunidad.madrid/hospital/santacristina/ciudadanos/aviso-legal-privacidad</v>
      </c>
      <c r="D227" s="99" t="s">
        <v>104</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MAPA WEB</v>
      </c>
      <c r="C228" s="85" t="str" cm="1">
        <f t="array" ref="C228">IFERROR(INDEX('03.Muestra'!$F$8:$F$42,SMALL(IF("Página Web"='03.Muestra'!$D$8:$D$42,ROW('03.Muestra'!$F$8:$F$42)-MIN(ROW('03.Muestra'!$D$8:$D$42))+1,""),ROW()-208)),"")</f>
        <v>https://www.comunidad.madrid/hospital/santacristina/sitemap</v>
      </c>
      <c r="D228" s="99" t="s">
        <v>104</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10: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75" zoomScale="91" zoomScaleNormal="91" workbookViewId="0">
      <selection activeCell="D188" sqref="D188"/>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v>
      </c>
      <c r="H12" s="42">
        <f ca="1">IF(($G$15+$K$15)=0,0,G12/($G$15+$K$15))</f>
        <v>0.03</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2</v>
      </c>
      <c r="H13" s="42">
        <f ca="1">IF(($G$15+$K$15)=0,0,G13/($G$15+$K$15))</f>
        <v>0.02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95</v>
      </c>
      <c r="H14" s="42">
        <f ca="1">IF(($G$15+$K$15)=0,0,G14/($G$15+$K$15))</f>
        <v>0.95</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https://www.comunidad.madrid/hospital/santacristina/</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https://www.comunidad.madrid/hospital/santacristina/ciudadanos</v>
      </c>
      <c r="D20" s="99" t="s">
        <v>104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https://www.comunidad.madrid/hospital/santacristina/profesionales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https://www.comunidad.madrid/hospital/santacristina/comunicacion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https://www.comunidad.madrid/hospital/santacristina/nosotros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https://www.comunidad.madrid/hospital/santacristina/buscar?search_api_fulltext=&amp;nombre=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ATENCIÓN AL PACIENTE</v>
      </c>
      <c r="C25" s="85" t="str" cm="1">
        <f t="array" ref="C25">IFERROR(INDEX('03.Muestra'!$F$8:$F$42,SMALL(IF("Página Web"='03.Muestra'!$D$8:$D$42,ROW('03.Muestra'!$F$8:$F$42)-MIN(ROW('03.Muestra'!$D$8:$D$42))+1,""),ROW()-18)),"")</f>
        <v>https://www.comunidad.madrid/hospital/santacristina/ciudadanos/atencion-paciente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ATENCIÓN ESPIRITUAL</v>
      </c>
      <c r="C26" s="85" t="str" cm="1">
        <f t="array" ref="C26">IFERROR(INDEX('03.Muestra'!$F$8:$F$42,SMALL(IF("Página Web"='03.Muestra'!$D$8:$D$42,ROW('03.Muestra'!$F$8:$F$42)-MIN(ROW('03.Muestra'!$D$8:$D$42))+1,""),ROW()-18)),"")</f>
        <v>https://www.comunidad.madrid/hospital/santacristina/ciudadanos/atencion-espiritual-religiosa</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LOCALIZACIÓN Y ACCESO</v>
      </c>
      <c r="C27" s="85" t="str" cm="1">
        <f t="array" ref="C27">IFERROR(INDEX('03.Muestra'!$F$8:$F$42,SMALL(IF("Página Web"='03.Muestra'!$D$8:$D$42,ROW('03.Muestra'!$F$8:$F$42)-MIN(ROW('03.Muestra'!$D$8:$D$42))+1,""),ROW()-18)),"")</f>
        <v>https://www.comunidad.madrid/hospital/santacristina/ciudadanos/localizacion-acceso</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GUÍAS DE USUARIO</v>
      </c>
      <c r="C28" s="85" t="str" cm="1">
        <f t="array" ref="C28">IFERROR(INDEX('03.Muestra'!$F$8:$F$42,SMALL(IF("Página Web"='03.Muestra'!$D$8:$D$42,ROW('03.Muestra'!$F$8:$F$42)-MIN(ROW('03.Muestra'!$D$8:$D$42))+1,""),ROW()-18)),"")</f>
        <v>https://www.comunidad.madrid/hospital/santacristina/ciudadanos/guias-usuario</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SERVICIOS QUIRÚRGICOS</v>
      </c>
      <c r="C29" s="85" t="str" cm="1">
        <f t="array" ref="C29">IFERROR(INDEX('03.Muestra'!$F$8:$F$42,SMALL(IF("Página Web"='03.Muestra'!$D$8:$D$42,ROW('03.Muestra'!$F$8:$F$42)-MIN(ROW('03.Muestra'!$D$8:$D$42))+1,""),ROW()-18)),"")</f>
        <v>https://www.comunidad.madrid/hospital/santacristina/profesionales/servicios-quirurgicos-0</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INVESTIGACIÓN</v>
      </c>
      <c r="C30" s="85" t="str" cm="1">
        <f t="array" ref="C30">IFERROR(INDEX('03.Muestra'!$F$8:$F$42,SMALL(IF("Página Web"='03.Muestra'!$D$8:$D$42,ROW('03.Muestra'!$F$8:$F$42)-MIN(ROW('03.Muestra'!$D$8:$D$42))+1,""),ROW()-18)),"")</f>
        <v>https://www.comunidad.madrid/hospital/santacristina/profesionales/investigacion-0</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NOTICIAS</v>
      </c>
      <c r="C31" s="85" t="str" cm="1">
        <f t="array" ref="C31">IFERROR(INDEX('03.Muestra'!$F$8:$F$42,SMALL(IF("Página Web"='03.Muestra'!$D$8:$D$42,ROW('03.Muestra'!$F$8:$F$42)-MIN(ROW('03.Muestra'!$D$8:$D$42))+1,""),ROW()-18)),"")</f>
        <v>https://www.comunidad.madrid/hospital/santacristina/comunicacion/noticias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ACTOS DEL CENTENARIO</v>
      </c>
      <c r="C32" s="85" t="str" cm="1">
        <f t="array" ref="C32">IFERROR(INDEX('03.Muestra'!$F$8:$F$42,SMALL(IF("Página Web"='03.Muestra'!$D$8:$D$42,ROW('03.Muestra'!$F$8:$F$42)-MIN(ROW('03.Muestra'!$D$8:$D$42))+1,""),ROW()-18)),"")</f>
        <v>https://www.comunidad.madrid/hospital/santacristina/nosotros/actos-centenario</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ACCESIBILIDAD HOSPITAL</v>
      </c>
      <c r="C33" s="85" t="str" cm="1">
        <f t="array" ref="C33">IFERROR(INDEX('03.Muestra'!$F$8:$F$42,SMALL(IF("Página Web"='03.Muestra'!$D$8:$D$42,ROW('03.Muestra'!$F$8:$F$42)-MIN(ROW('03.Muestra'!$D$8:$D$42))+1,""),ROW()-18)),"")</f>
        <v>https://www.comunidad.madrid/hospital/santacristina/nosotros/accesibilidad-hospital</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CARTERA DE SERVICIOS</v>
      </c>
      <c r="C34" s="85" t="str" cm="1">
        <f t="array" ref="C34">IFERROR(INDEX('03.Muestra'!$F$8:$F$42,SMALL(IF("Página Web"='03.Muestra'!$D$8:$D$42,ROW('03.Muestra'!$F$8:$F$42)-MIN(ROW('03.Muestra'!$D$8:$D$42))+1,""),ROW()-18)),"")</f>
        <v>https://www.comunidad.madrid/hospital/santacristina/nosotros/cartera-servicios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CONTACTO</v>
      </c>
      <c r="C35" s="85" t="str" cm="1">
        <f t="array" ref="C35">IFERROR(INDEX('03.Muestra'!$F$8:$F$42,SMALL(IF("Página Web"='03.Muestra'!$D$8:$D$42,ROW('03.Muestra'!$F$8:$F$42)-MIN(ROW('03.Muestra'!$D$8:$D$42))+1,""),ROW()-18)),"")</f>
        <v>https://www.comunidad.madrid/hospital/santacristina/comunicacion/contacto</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https://www.comunidad.madrid/hospital/santacristina/declaracion-accesibilidad</v>
      </c>
      <c r="D36" s="99" t="s">
        <v>92</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LEGAL</v>
      </c>
      <c r="C37" s="85" t="str" cm="1">
        <f t="array" ref="C37">IFERROR(INDEX('03.Muestra'!$F$8:$F$42,SMALL(IF("Página Web"='03.Muestra'!$D$8:$D$42,ROW('03.Muestra'!$F$8:$F$42)-MIN(ROW('03.Muestra'!$D$8:$D$42))+1,""),ROW()-18)),"")</f>
        <v>https://www.comunidad.madrid/hospital/santacristina/ciudadanos/aviso-legal-privacidad</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MAPA WEB</v>
      </c>
      <c r="C38" s="85" t="str" cm="1">
        <f t="array" ref="C38">IFERROR(INDEX('03.Muestra'!$F$8:$F$42,SMALL(IF("Página Web"='03.Muestra'!$D$8:$D$42,ROW('03.Muestra'!$F$8:$F$42)-MIN(ROW('03.Muestra'!$D$8:$D$42))+1,""),ROW()-18)),"")</f>
        <v>https://www.comunidad.madrid/hospital/santacristina/sitemap</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20: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https://www.comunidad.madrid/hospital/santacristina/</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https://www.comunidad.madrid/hospital/santacristina/ciudadanos</v>
      </c>
      <c r="D58" s="99" t="s">
        <v>104</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https://www.comunidad.madrid/hospital/santacristina/profesionales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https://www.comunidad.madrid/hospital/santacristina/comunicacion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https://www.comunidad.madrid/hospital/santacristina/nosotros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https://www.comunidad.madrid/hospital/santacristina/buscar?search_api_fulltext=&amp;nombre=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ATENCIÓN AL PACIENTE</v>
      </c>
      <c r="C63" s="85" t="str" cm="1">
        <f t="array" ref="C63">IFERROR(INDEX('03.Muestra'!$F$8:$F$42,SMALL(IF("Página Web"='03.Muestra'!$D$8:$D$42,ROW('03.Muestra'!$F$8:$F$42)-MIN(ROW('03.Muestra'!$D$8:$D$42))+1,""),ROW()-56)),"")</f>
        <v>https://www.comunidad.madrid/hospital/santacristina/ciudadanos/atencion-paciente</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ATENCIÓN ESPIRITUAL</v>
      </c>
      <c r="C64" s="85" t="str" cm="1">
        <f t="array" ref="C64">IFERROR(INDEX('03.Muestra'!$F$8:$F$42,SMALL(IF("Página Web"='03.Muestra'!$D$8:$D$42,ROW('03.Muestra'!$F$8:$F$42)-MIN(ROW('03.Muestra'!$D$8:$D$42))+1,""),ROW()-56)),"")</f>
        <v>https://www.comunidad.madrid/hospital/santacristina/ciudadanos/atencion-espiritual-religiosa</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LOCALIZACIÓN Y ACCESO</v>
      </c>
      <c r="C65" s="85" t="str" cm="1">
        <f t="array" ref="C65">IFERROR(INDEX('03.Muestra'!$F$8:$F$42,SMALL(IF("Página Web"='03.Muestra'!$D$8:$D$42,ROW('03.Muestra'!$F$8:$F$42)-MIN(ROW('03.Muestra'!$D$8:$D$42))+1,""),ROW()-56)),"")</f>
        <v>https://www.comunidad.madrid/hospital/santacristina/ciudadanos/localizacion-acceso</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GUÍAS DE USUARIO</v>
      </c>
      <c r="C66" s="85" t="str" cm="1">
        <f t="array" ref="C66">IFERROR(INDEX('03.Muestra'!$F$8:$F$42,SMALL(IF("Página Web"='03.Muestra'!$D$8:$D$42,ROW('03.Muestra'!$F$8:$F$42)-MIN(ROW('03.Muestra'!$D$8:$D$42))+1,""),ROW()-56)),"")</f>
        <v>https://www.comunidad.madrid/hospital/santacristina/ciudadanos/guias-usuario</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SERVICIOS QUIRÚRGICOS</v>
      </c>
      <c r="C67" s="85" t="str" cm="1">
        <f t="array" ref="C67">IFERROR(INDEX('03.Muestra'!$F$8:$F$42,SMALL(IF("Página Web"='03.Muestra'!$D$8:$D$42,ROW('03.Muestra'!$F$8:$F$42)-MIN(ROW('03.Muestra'!$D$8:$D$42))+1,""),ROW()-56)),"")</f>
        <v>https://www.comunidad.madrid/hospital/santacristina/profesionales/servicios-quirurgicos-0</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INVESTIGACIÓN</v>
      </c>
      <c r="C68" s="85" t="str" cm="1">
        <f t="array" ref="C68">IFERROR(INDEX('03.Muestra'!$F$8:$F$42,SMALL(IF("Página Web"='03.Muestra'!$D$8:$D$42,ROW('03.Muestra'!$F$8:$F$42)-MIN(ROW('03.Muestra'!$D$8:$D$42))+1,""),ROW()-56)),"")</f>
        <v>https://www.comunidad.madrid/hospital/santacristina/profesionales/investigacion-0</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NOTICIAS</v>
      </c>
      <c r="C69" s="85" t="str" cm="1">
        <f t="array" ref="C69">IFERROR(INDEX('03.Muestra'!$F$8:$F$42,SMALL(IF("Página Web"='03.Muestra'!$D$8:$D$42,ROW('03.Muestra'!$F$8:$F$42)-MIN(ROW('03.Muestra'!$D$8:$D$42))+1,""),ROW()-56)),"")</f>
        <v>https://www.comunidad.madrid/hospital/santacristina/comunicacion/noticias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ACTOS DEL CENTENARIO</v>
      </c>
      <c r="C70" s="85" t="str" cm="1">
        <f t="array" ref="C70">IFERROR(INDEX('03.Muestra'!$F$8:$F$42,SMALL(IF("Página Web"='03.Muestra'!$D$8:$D$42,ROW('03.Muestra'!$F$8:$F$42)-MIN(ROW('03.Muestra'!$D$8:$D$42))+1,""),ROW()-56)),"")</f>
        <v>https://www.comunidad.madrid/hospital/santacristina/nosotros/actos-centenario</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ACCESIBILIDAD HOSPITAL</v>
      </c>
      <c r="C71" s="85" t="str" cm="1">
        <f t="array" ref="C71">IFERROR(INDEX('03.Muestra'!$F$8:$F$42,SMALL(IF("Página Web"='03.Muestra'!$D$8:$D$42,ROW('03.Muestra'!$F$8:$F$42)-MIN(ROW('03.Muestra'!$D$8:$D$42))+1,""),ROW()-56)),"")</f>
        <v>https://www.comunidad.madrid/hospital/santacristina/nosotros/accesibilidad-hospital</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CARTERA DE SERVICIOS</v>
      </c>
      <c r="C72" s="85" t="str" cm="1">
        <f t="array" ref="C72">IFERROR(INDEX('03.Muestra'!$F$8:$F$42,SMALL(IF("Página Web"='03.Muestra'!$D$8:$D$42,ROW('03.Muestra'!$F$8:$F$42)-MIN(ROW('03.Muestra'!$D$8:$D$42))+1,""),ROW()-56)),"")</f>
        <v>https://www.comunidad.madrid/hospital/santacristina/nosotros/cartera-servicios</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CONTACTO</v>
      </c>
      <c r="C73" s="85" t="str" cm="1">
        <f t="array" ref="C73">IFERROR(INDEX('03.Muestra'!$F$8:$F$42,SMALL(IF("Página Web"='03.Muestra'!$D$8:$D$42,ROW('03.Muestra'!$F$8:$F$42)-MIN(ROW('03.Muestra'!$D$8:$D$42))+1,""),ROW()-56)),"")</f>
        <v>https://www.comunidad.madrid/hospital/santacristina/comunicacion/contacto</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https://www.comunidad.madrid/hospital/santacristina/declaracion-accesibilidad</v>
      </c>
      <c r="D74" s="99" t="s">
        <v>94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LEGAL</v>
      </c>
      <c r="C75" s="85" t="str" cm="1">
        <f t="array" ref="C75">IFERROR(INDEX('03.Muestra'!$F$8:$F$42,SMALL(IF("Página Web"='03.Muestra'!$D$8:$D$42,ROW('03.Muestra'!$F$8:$F$42)-MIN(ROW('03.Muestra'!$D$8:$D$42))+1,""),ROW()-56)),"")</f>
        <v>https://www.comunidad.madrid/hospital/santacristina/ciudadanos/aviso-legal-privacidad</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MAPA WEB</v>
      </c>
      <c r="C76" s="85" t="str" cm="1">
        <f t="array" ref="C76">IFERROR(INDEX('03.Muestra'!$F$8:$F$42,SMALL(IF("Página Web"='03.Muestra'!$D$8:$D$42,ROW('03.Muestra'!$F$8:$F$42)-MIN(ROW('03.Muestra'!$D$8:$D$42))+1,""),ROW()-56)),"")</f>
        <v>https://www.comunidad.madrid/hospital/santacristina/sitemap</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58: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https://www.comunidad.madrid/hospital/santacristina/</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https://www.comunidad.madrid/hospital/santacristina/ciudadanos</v>
      </c>
      <c r="D96" s="99" t="s">
        <v>104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https://www.comunidad.madrid/hospital/santacristina/profesionales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https://www.comunidad.madrid/hospital/santacristina/comunicacion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https://www.comunidad.madrid/hospital/santacristina/nosotros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https://www.comunidad.madrid/hospital/santacristina/buscar?search_api_fulltext=&amp;nombre=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ATENCIÓN AL PACIENTE</v>
      </c>
      <c r="C101" s="85" t="str" cm="1">
        <f t="array" ref="C101">IFERROR(INDEX('03.Muestra'!$F$8:$F$42,SMALL(IF("Página Web"='03.Muestra'!$D$8:$D$42,ROW('03.Muestra'!$F$8:$F$42)-MIN(ROW('03.Muestra'!$D$8:$D$42))+1,""),ROW()-94)),"")</f>
        <v>https://www.comunidad.madrid/hospital/santacristina/ciudadanos/atencion-paciente</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ATENCIÓN ESPIRITUAL</v>
      </c>
      <c r="C102" s="85" t="str" cm="1">
        <f t="array" ref="C102">IFERROR(INDEX('03.Muestra'!$F$8:$F$42,SMALL(IF("Página Web"='03.Muestra'!$D$8:$D$42,ROW('03.Muestra'!$F$8:$F$42)-MIN(ROW('03.Muestra'!$D$8:$D$42))+1,""),ROW()-94)),"")</f>
        <v>https://www.comunidad.madrid/hospital/santacristina/ciudadanos/atencion-espiritual-religiosa</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LOCALIZACIÓN Y ACCESO</v>
      </c>
      <c r="C103" s="85" t="str" cm="1">
        <f t="array" ref="C103">IFERROR(INDEX('03.Muestra'!$F$8:$F$42,SMALL(IF("Página Web"='03.Muestra'!$D$8:$D$42,ROW('03.Muestra'!$F$8:$F$42)-MIN(ROW('03.Muestra'!$D$8:$D$42))+1,""),ROW()-94)),"")</f>
        <v>https://www.comunidad.madrid/hospital/santacristina/ciudadanos/localizacion-acceso</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GUÍAS DE USUARIO</v>
      </c>
      <c r="C104" s="85" t="str" cm="1">
        <f t="array" ref="C104">IFERROR(INDEX('03.Muestra'!$F$8:$F$42,SMALL(IF("Página Web"='03.Muestra'!$D$8:$D$42,ROW('03.Muestra'!$F$8:$F$42)-MIN(ROW('03.Muestra'!$D$8:$D$42))+1,""),ROW()-94)),"")</f>
        <v>https://www.comunidad.madrid/hospital/santacristina/ciudadanos/guias-usuario</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SERVICIOS QUIRÚRGICOS</v>
      </c>
      <c r="C105" s="85" t="str" cm="1">
        <f t="array" ref="C105">IFERROR(INDEX('03.Muestra'!$F$8:$F$42,SMALL(IF("Página Web"='03.Muestra'!$D$8:$D$42,ROW('03.Muestra'!$F$8:$F$42)-MIN(ROW('03.Muestra'!$D$8:$D$42))+1,""),ROW()-94)),"")</f>
        <v>https://www.comunidad.madrid/hospital/santacristina/profesionales/servicios-quirurgicos-0</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INVESTIGACIÓN</v>
      </c>
      <c r="C106" s="85" t="str" cm="1">
        <f t="array" ref="C106">IFERROR(INDEX('03.Muestra'!$F$8:$F$42,SMALL(IF("Página Web"='03.Muestra'!$D$8:$D$42,ROW('03.Muestra'!$F$8:$F$42)-MIN(ROW('03.Muestra'!$D$8:$D$42))+1,""),ROW()-94)),"")</f>
        <v>https://www.comunidad.madrid/hospital/santacristina/profesionales/investigacion-0</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NOTICIAS</v>
      </c>
      <c r="C107" s="85" t="str" cm="1">
        <f t="array" ref="C107">IFERROR(INDEX('03.Muestra'!$F$8:$F$42,SMALL(IF("Página Web"='03.Muestra'!$D$8:$D$42,ROW('03.Muestra'!$F$8:$F$42)-MIN(ROW('03.Muestra'!$D$8:$D$42))+1,""),ROW()-94)),"")</f>
        <v>https://www.comunidad.madrid/hospital/santacristina/comunicacion/noticias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ACTOS DEL CENTENARIO</v>
      </c>
      <c r="C108" s="85" t="str" cm="1">
        <f t="array" ref="C108">IFERROR(INDEX('03.Muestra'!$F$8:$F$42,SMALL(IF("Página Web"='03.Muestra'!$D$8:$D$42,ROW('03.Muestra'!$F$8:$F$42)-MIN(ROW('03.Muestra'!$D$8:$D$42))+1,""),ROW()-94)),"")</f>
        <v>https://www.comunidad.madrid/hospital/santacristina/nosotros/actos-centenario</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ACCESIBILIDAD HOSPITAL</v>
      </c>
      <c r="C109" s="85" t="str" cm="1">
        <f t="array" ref="C109">IFERROR(INDEX('03.Muestra'!$F$8:$F$42,SMALL(IF("Página Web"='03.Muestra'!$D$8:$D$42,ROW('03.Muestra'!$F$8:$F$42)-MIN(ROW('03.Muestra'!$D$8:$D$42))+1,""),ROW()-94)),"")</f>
        <v>https://www.comunidad.madrid/hospital/santacristina/nosotros/accesibilidad-hospital</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CARTERA DE SERVICIOS</v>
      </c>
      <c r="C110" s="85" t="str" cm="1">
        <f t="array" ref="C110">IFERROR(INDEX('03.Muestra'!$F$8:$F$42,SMALL(IF("Página Web"='03.Muestra'!$D$8:$D$42,ROW('03.Muestra'!$F$8:$F$42)-MIN(ROW('03.Muestra'!$D$8:$D$42))+1,""),ROW()-94)),"")</f>
        <v>https://www.comunidad.madrid/hospital/santacristina/nosotros/cartera-servicios</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CONTACTO</v>
      </c>
      <c r="C111" s="85" t="str" cm="1">
        <f t="array" ref="C111">IFERROR(INDEX('03.Muestra'!$F$8:$F$42,SMALL(IF("Página Web"='03.Muestra'!$D$8:$D$42,ROW('03.Muestra'!$F$8:$F$42)-MIN(ROW('03.Muestra'!$D$8:$D$42))+1,""),ROW()-94)),"")</f>
        <v>https://www.comunidad.madrid/hospital/santacristina/comunicacion/contacto</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https://www.comunidad.madrid/hospital/santacristina/declaracion-accesibilidad</v>
      </c>
      <c r="D112" s="99" t="s">
        <v>92</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LEGAL</v>
      </c>
      <c r="C113" s="85" t="str" cm="1">
        <f t="array" ref="C113">IFERROR(INDEX('03.Muestra'!$F$8:$F$42,SMALL(IF("Página Web"='03.Muestra'!$D$8:$D$42,ROW('03.Muestra'!$F$8:$F$42)-MIN(ROW('03.Muestra'!$D$8:$D$42))+1,""),ROW()-94)),"")</f>
        <v>https://www.comunidad.madrid/hospital/santacristina/ciudadanos/aviso-legal-privacidad</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MAPA WEB</v>
      </c>
      <c r="C114" s="85" t="str" cm="1">
        <f t="array" ref="C114">IFERROR(INDEX('03.Muestra'!$F$8:$F$42,SMALL(IF("Página Web"='03.Muestra'!$D$8:$D$42,ROW('03.Muestra'!$F$8:$F$42)-MIN(ROW('03.Muestra'!$D$8:$D$42))+1,""),ROW()-94)),"")</f>
        <v>https://www.comunidad.madrid/hospital/santacristina/sitemap</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96: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https://www.comunidad.madrid/hospital/santacristina/</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https://www.comunidad.madrid/hospital/santacristina/ciudadanos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https://www.comunidad.madrid/hospital/santacristina/profesionales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https://www.comunidad.madrid/hospital/santacristina/comunicacion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https://www.comunidad.madrid/hospital/santacristina/nosotros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https://www.comunidad.madrid/hospital/santacristina/buscar?search_api_fulltext=&amp;nombre=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ATENCIÓN AL PACIENTE</v>
      </c>
      <c r="C139" s="85" t="str" cm="1">
        <f t="array" ref="C139">IFERROR(INDEX('03.Muestra'!$F$8:$F$42,SMALL(IF("Página Web"='03.Muestra'!$D$8:$D$42,ROW('03.Muestra'!$F$8:$F$42)-MIN(ROW('03.Muestra'!$D$8:$D$42))+1,""),ROW()-132)),"")</f>
        <v>https://www.comunidad.madrid/hospital/santacristina/ciudadanos/atencion-paciente</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ATENCIÓN ESPIRITUAL</v>
      </c>
      <c r="C140" s="85" t="str" cm="1">
        <f t="array" ref="C140">IFERROR(INDEX('03.Muestra'!$F$8:$F$42,SMALL(IF("Página Web"='03.Muestra'!$D$8:$D$42,ROW('03.Muestra'!$F$8:$F$42)-MIN(ROW('03.Muestra'!$D$8:$D$42))+1,""),ROW()-132)),"")</f>
        <v>https://www.comunidad.madrid/hospital/santacristina/ciudadanos/atencion-espiritual-religiosa</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LOCALIZACIÓN Y ACCESO</v>
      </c>
      <c r="C141" s="85" t="str" cm="1">
        <f t="array" ref="C141">IFERROR(INDEX('03.Muestra'!$F$8:$F$42,SMALL(IF("Página Web"='03.Muestra'!$D$8:$D$42,ROW('03.Muestra'!$F$8:$F$42)-MIN(ROW('03.Muestra'!$D$8:$D$42))+1,""),ROW()-132)),"")</f>
        <v>https://www.comunidad.madrid/hospital/santacristina/ciudadanos/localizacion-acceso</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GUÍAS DE USUARIO</v>
      </c>
      <c r="C142" s="85" t="str" cm="1">
        <f t="array" ref="C142">IFERROR(INDEX('03.Muestra'!$F$8:$F$42,SMALL(IF("Página Web"='03.Muestra'!$D$8:$D$42,ROW('03.Muestra'!$F$8:$F$42)-MIN(ROW('03.Muestra'!$D$8:$D$42))+1,""),ROW()-132)),"")</f>
        <v>https://www.comunidad.madrid/hospital/santacristina/ciudadanos/guias-usuario</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SERVICIOS QUIRÚRGICOS</v>
      </c>
      <c r="C143" s="85" t="str" cm="1">
        <f t="array" ref="C143">IFERROR(INDEX('03.Muestra'!$F$8:$F$42,SMALL(IF("Página Web"='03.Muestra'!$D$8:$D$42,ROW('03.Muestra'!$F$8:$F$42)-MIN(ROW('03.Muestra'!$D$8:$D$42))+1,""),ROW()-132)),"")</f>
        <v>https://www.comunidad.madrid/hospital/santacristina/profesionales/servicios-quirurgicos-0</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INVESTIGACIÓN</v>
      </c>
      <c r="C144" s="85" t="str" cm="1">
        <f t="array" ref="C144">IFERROR(INDEX('03.Muestra'!$F$8:$F$42,SMALL(IF("Página Web"='03.Muestra'!$D$8:$D$42,ROW('03.Muestra'!$F$8:$F$42)-MIN(ROW('03.Muestra'!$D$8:$D$42))+1,""),ROW()-132)),"")</f>
        <v>https://www.comunidad.madrid/hospital/santacristina/profesionales/investigacion-0</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NOTICIAS</v>
      </c>
      <c r="C145" s="85" t="str" cm="1">
        <f t="array" ref="C145">IFERROR(INDEX('03.Muestra'!$F$8:$F$42,SMALL(IF("Página Web"='03.Muestra'!$D$8:$D$42,ROW('03.Muestra'!$F$8:$F$42)-MIN(ROW('03.Muestra'!$D$8:$D$42))+1,""),ROW()-132)),"")</f>
        <v>https://www.comunidad.madrid/hospital/santacristina/comunicacion/noticias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ACTOS DEL CENTENARIO</v>
      </c>
      <c r="C146" s="85" t="str" cm="1">
        <f t="array" ref="C146">IFERROR(INDEX('03.Muestra'!$F$8:$F$42,SMALL(IF("Página Web"='03.Muestra'!$D$8:$D$42,ROW('03.Muestra'!$F$8:$F$42)-MIN(ROW('03.Muestra'!$D$8:$D$42))+1,""),ROW()-132)),"")</f>
        <v>https://www.comunidad.madrid/hospital/santacristina/nosotros/actos-centenario</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ACCESIBILIDAD HOSPITAL</v>
      </c>
      <c r="C147" s="85" t="str" cm="1">
        <f t="array" ref="C147">IFERROR(INDEX('03.Muestra'!$F$8:$F$42,SMALL(IF("Página Web"='03.Muestra'!$D$8:$D$42,ROW('03.Muestra'!$F$8:$F$42)-MIN(ROW('03.Muestra'!$D$8:$D$42))+1,""),ROW()-132)),"")</f>
        <v>https://www.comunidad.madrid/hospital/santacristina/nosotros/accesibilidad-hospital</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CARTERA DE SERVICIOS</v>
      </c>
      <c r="C148" s="85" t="str" cm="1">
        <f t="array" ref="C148">IFERROR(INDEX('03.Muestra'!$F$8:$F$42,SMALL(IF("Página Web"='03.Muestra'!$D$8:$D$42,ROW('03.Muestra'!$F$8:$F$42)-MIN(ROW('03.Muestra'!$D$8:$D$42))+1,""),ROW()-132)),"")</f>
        <v>https://www.comunidad.madrid/hospital/santacristina/nosotros/cartera-servicios</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CONTACTO</v>
      </c>
      <c r="C149" s="85" t="str" cm="1">
        <f t="array" ref="C149">IFERROR(INDEX('03.Muestra'!$F$8:$F$42,SMALL(IF("Página Web"='03.Muestra'!$D$8:$D$42,ROW('03.Muestra'!$F$8:$F$42)-MIN(ROW('03.Muestra'!$D$8:$D$42))+1,""),ROW()-132)),"")</f>
        <v>https://www.comunidad.madrid/hospital/santacristina/comunicacion/contacto</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https://www.comunidad.madrid/hospital/santacristina/declaracion-accesibilidad</v>
      </c>
      <c r="D150" s="99" t="s">
        <v>92</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LEGAL</v>
      </c>
      <c r="C151" s="85" t="str" cm="1">
        <f t="array" ref="C151">IFERROR(INDEX('03.Muestra'!$F$8:$F$42,SMALL(IF("Página Web"='03.Muestra'!$D$8:$D$42,ROW('03.Muestra'!$F$8:$F$42)-MIN(ROW('03.Muestra'!$D$8:$D$42))+1,""),ROW()-132)),"")</f>
        <v>https://www.comunidad.madrid/hospital/santacristina/ciudadanos/aviso-legal-privacidad</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MAPA WEB</v>
      </c>
      <c r="C152" s="85" t="str" cm="1">
        <f t="array" ref="C152">IFERROR(INDEX('03.Muestra'!$F$8:$F$42,SMALL(IF("Página Web"='03.Muestra'!$D$8:$D$42,ROW('03.Muestra'!$F$8:$F$42)-MIN(ROW('03.Muestra'!$D$8:$D$42))+1,""),ROW()-132)),"")</f>
        <v>https://www.comunidad.madrid/hospital/santacristina/sitemap</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34: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https://www.comunidad.madrid/hospital/santacristina/</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https://www.comunidad.madrid/hospital/santacristina/ciudadanos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https://www.comunidad.madrid/hospital/santacristina/profesionales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https://www.comunidad.madrid/hospital/santacristina/comunicacion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https://www.comunidad.madrid/hospital/santacristina/nosotros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https://www.comunidad.madrid/hospital/santacristina/buscar?search_api_fulltext=&amp;nombre=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ATENCIÓN AL PACIENTE</v>
      </c>
      <c r="C177" s="85" t="str" cm="1">
        <f t="array" ref="C177">IFERROR(INDEX('03.Muestra'!$F$8:$F$42,SMALL(IF("Página Web"='03.Muestra'!$D$8:$D$42,ROW('03.Muestra'!$F$8:$F$42)-MIN(ROW('03.Muestra'!$D$8:$D$42))+1,""),ROW()-170)),"")</f>
        <v>https://www.comunidad.madrid/hospital/santacristina/ciudadanos/atencion-paciente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ATENCIÓN ESPIRITUAL</v>
      </c>
      <c r="C178" s="85" t="str" cm="1">
        <f t="array" ref="C178">IFERROR(INDEX('03.Muestra'!$F$8:$F$42,SMALL(IF("Página Web"='03.Muestra'!$D$8:$D$42,ROW('03.Muestra'!$F$8:$F$42)-MIN(ROW('03.Muestra'!$D$8:$D$42))+1,""),ROW()-170)),"")</f>
        <v>https://www.comunidad.madrid/hospital/santacristina/ciudadanos/atencion-espiritual-religiosa</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LOCALIZACIÓN Y ACCESO</v>
      </c>
      <c r="C179" s="85" t="str" cm="1">
        <f t="array" ref="C179">IFERROR(INDEX('03.Muestra'!$F$8:$F$42,SMALL(IF("Página Web"='03.Muestra'!$D$8:$D$42,ROW('03.Muestra'!$F$8:$F$42)-MIN(ROW('03.Muestra'!$D$8:$D$42))+1,""),ROW()-170)),"")</f>
        <v>https://www.comunidad.madrid/hospital/santacristina/ciudadanos/localizacion-acceso</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GUÍAS DE USUARIO</v>
      </c>
      <c r="C180" s="85" t="str" cm="1">
        <f t="array" ref="C180">IFERROR(INDEX('03.Muestra'!$F$8:$F$42,SMALL(IF("Página Web"='03.Muestra'!$D$8:$D$42,ROW('03.Muestra'!$F$8:$F$42)-MIN(ROW('03.Muestra'!$D$8:$D$42))+1,""),ROW()-170)),"")</f>
        <v>https://www.comunidad.madrid/hospital/santacristina/ciudadanos/guias-usuario</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SERVICIOS QUIRÚRGICOS</v>
      </c>
      <c r="C181" s="85" t="str" cm="1">
        <f t="array" ref="C181">IFERROR(INDEX('03.Muestra'!$F$8:$F$42,SMALL(IF("Página Web"='03.Muestra'!$D$8:$D$42,ROW('03.Muestra'!$F$8:$F$42)-MIN(ROW('03.Muestra'!$D$8:$D$42))+1,""),ROW()-170)),"")</f>
        <v>https://www.comunidad.madrid/hospital/santacristina/profesionales/servicios-quirurgicos-0</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INVESTIGACIÓN</v>
      </c>
      <c r="C182" s="85" t="str" cm="1">
        <f t="array" ref="C182">IFERROR(INDEX('03.Muestra'!$F$8:$F$42,SMALL(IF("Página Web"='03.Muestra'!$D$8:$D$42,ROW('03.Muestra'!$F$8:$F$42)-MIN(ROW('03.Muestra'!$D$8:$D$42))+1,""),ROW()-170)),"")</f>
        <v>https://www.comunidad.madrid/hospital/santacristina/profesionales/investigacion-0</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NOTICIAS</v>
      </c>
      <c r="C183" s="85" t="str" cm="1">
        <f t="array" ref="C183">IFERROR(INDEX('03.Muestra'!$F$8:$F$42,SMALL(IF("Página Web"='03.Muestra'!$D$8:$D$42,ROW('03.Muestra'!$F$8:$F$42)-MIN(ROW('03.Muestra'!$D$8:$D$42))+1,""),ROW()-170)),"")</f>
        <v>https://www.comunidad.madrid/hospital/santacristina/comunicacion/noticias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ACTOS DEL CENTENARIO</v>
      </c>
      <c r="C184" s="85" t="str" cm="1">
        <f t="array" ref="C184">IFERROR(INDEX('03.Muestra'!$F$8:$F$42,SMALL(IF("Página Web"='03.Muestra'!$D$8:$D$42,ROW('03.Muestra'!$F$8:$F$42)-MIN(ROW('03.Muestra'!$D$8:$D$42))+1,""),ROW()-170)),"")</f>
        <v>https://www.comunidad.madrid/hospital/santacristina/nosotros/actos-centenario</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ACCESIBILIDAD HOSPITAL</v>
      </c>
      <c r="C185" s="85" t="str" cm="1">
        <f t="array" ref="C185">IFERROR(INDEX('03.Muestra'!$F$8:$F$42,SMALL(IF("Página Web"='03.Muestra'!$D$8:$D$42,ROW('03.Muestra'!$F$8:$F$42)-MIN(ROW('03.Muestra'!$D$8:$D$42))+1,""),ROW()-170)),"")</f>
        <v>https://www.comunidad.madrid/hospital/santacristina/nosotros/accesibilidad-hospital</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CARTERA DE SERVICIOS</v>
      </c>
      <c r="C186" s="85" t="str" cm="1">
        <f t="array" ref="C186">IFERROR(INDEX('03.Muestra'!$F$8:$F$42,SMALL(IF("Página Web"='03.Muestra'!$D$8:$D$42,ROW('03.Muestra'!$F$8:$F$42)-MIN(ROW('03.Muestra'!$D$8:$D$42))+1,""),ROW()-170)),"")</f>
        <v>https://www.comunidad.madrid/hospital/santacristina/nosotros/cartera-servicios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CONTACTO</v>
      </c>
      <c r="C187" s="85" t="str" cm="1">
        <f t="array" ref="C187">IFERROR(INDEX('03.Muestra'!$F$8:$F$42,SMALL(IF("Página Web"='03.Muestra'!$D$8:$D$42,ROW('03.Muestra'!$F$8:$F$42)-MIN(ROW('03.Muestra'!$D$8:$D$42))+1,""),ROW()-170)),"")</f>
        <v>https://www.comunidad.madrid/hospital/santacristina/comunicacion/contacto</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https://www.comunidad.madrid/hospital/santacristina/declaracion-accesibilidad</v>
      </c>
      <c r="D188" s="99" t="s">
        <v>94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LEGAL</v>
      </c>
      <c r="C189" s="85" t="str" cm="1">
        <f t="array" ref="C189">IFERROR(INDEX('03.Muestra'!$F$8:$F$42,SMALL(IF("Página Web"='03.Muestra'!$D$8:$D$42,ROW('03.Muestra'!$F$8:$F$42)-MIN(ROW('03.Muestra'!$D$8:$D$42))+1,""),ROW()-170)),"")</f>
        <v>https://www.comunidad.madrid/hospital/santacristina/ciudadanos/aviso-legal-privacidad</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MAPA WEB</v>
      </c>
      <c r="C190" s="85" t="str" cm="1">
        <f t="array" ref="C190">IFERROR(INDEX('03.Muestra'!$F$8:$F$42,SMALL(IF("Página Web"='03.Muestra'!$D$8:$D$42,ROW('03.Muestra'!$F$8:$F$42)-MIN(ROW('03.Muestra'!$D$8:$D$42))+1,""),ROW()-170)),"")</f>
        <v>https://www.comunidad.madrid/hospital/santacristina/sitemap</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72: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13" zoomScale="70" zoomScaleNormal="70" workbookViewId="0">
      <selection activeCell="N3" sqref="N3"/>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2" t="s">
        <v>253</v>
      </c>
      <c r="L6" s="232"/>
      <c r="M6" s="232"/>
      <c r="N6" s="48"/>
      <c r="O6" s="232" t="s">
        <v>254</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3" t="s">
        <v>86</v>
      </c>
      <c r="D7" s="234"/>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5" t="s">
        <v>262</v>
      </c>
      <c r="D8" s="236"/>
      <c r="E8" s="38" t="str">
        <f ca="1">CONCATENATE(COUNTIF(E55:CR55,"CONFORME")," (",ROUND(COUNTIF(E55:CR55,"CONFORME")*100/COUNTA($E$19:CR$19),2)," %)")</f>
        <v>22 (23,91 %)</v>
      </c>
      <c r="F8" s="38" t="str">
        <f ca="1">CONCATENATE(COUNTIF(E55:CR55,"NO CONFORME")," (",ROUND(COUNTIF(E55:CR55,"NO CONFORME")*100/COUNTA($E$19:CR$19),2)," %)")</f>
        <v>20 (21,74 %)</v>
      </c>
      <c r="G8" s="39" t="str">
        <f ca="1">CONCATENATE(COUNTIF(E55:CR55,"N/A")," (",ROUND(COUNTIF(E55:CR55,"N/A")*100/COUNTA($E$19:CR$19),2)," %)")</f>
        <v>50 (54,35 %)</v>
      </c>
      <c r="H8" s="39">
        <f ca="1">COUNTIF(E55:CR55,"ERROR")</f>
        <v>0</v>
      </c>
      <c r="I8" s="40">
        <f ca="1">COUNTIF(E55:CR55,"EN CURSO")</f>
        <v>0</v>
      </c>
      <c r="J8" s="187">
        <f ca="1">SUM(VALUE(LEFT(E8,SEARCH(" ",E8)-1)),VALUE(LEFT(F8,SEARCH(" ",F8)-1)))</f>
        <v>42</v>
      </c>
      <c r="K8" s="41" t="s">
        <v>263</v>
      </c>
      <c r="L8" s="38">
        <f ca="1">COUNTIF( $E$20:INDIRECT("$CR$" &amp;  SUM(19,COUNTIFS(B20:B54,"&lt;&gt;"))),"Pasa")+ COUNTIF($E$61:INDIRECT("$AW$" &amp;  SUM(60,COUNTIFS(B61:B95,"&lt;&gt;"))),"Pasa")</f>
        <v>305</v>
      </c>
      <c r="M8" s="42">
        <f ca="1">IF(($L$11+$P$11)=0,0,L8/($L$11+$P$11))</f>
        <v>0.16576086956521738</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1" t="s">
        <v>264</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305</v>
      </c>
      <c r="M9" s="42">
        <f ca="1">IF(($L$11+$P$11)=0,0,L9/($L$11+$P$11))</f>
        <v>0.16576086956521738</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6" t="s">
        <v>265</v>
      </c>
      <c r="D10" s="247"/>
      <c r="E10" s="192" t="str">
        <f ca="1">CONCATENATE(ROUND(E11/137*100,2)," %")</f>
        <v>16,06 %</v>
      </c>
      <c r="F10" s="192" t="str">
        <f ca="1">CONCATENATE(ROUND(F11/137*100,2)," %")</f>
        <v>14,6 %</v>
      </c>
      <c r="G10" s="192" t="str">
        <f ca="1">CONCATENATE(ROUND(G11/137*100,2)," %")</f>
        <v>69,34 %</v>
      </c>
      <c r="H10" s="192" t="str">
        <f ca="1">CONCATENATE(ROUND(H11/137*100,2)," %")</f>
        <v>0 %</v>
      </c>
      <c r="I10" s="194" t="str">
        <f ca="1">CONCATENATE(ROUND(I11/137*100,2)," %")</f>
        <v>0 %</v>
      </c>
      <c r="J10" s="195"/>
      <c r="K10" s="41" t="s">
        <v>97</v>
      </c>
      <c r="L10" s="38">
        <f ca="1">COUNTIF( $E$20:INDIRECT("$CR$" &amp;  SUM(19,COUNTIFS(B20:B54,"&lt;&gt;"))),"N/A")+COUNTIF($E$61:INDIRECT("$AW$" &amp;  SUM(60,COUNTIFS(B61:B95,"&lt;&gt;"))),"N/A")</f>
        <v>1230</v>
      </c>
      <c r="M10" s="42">
        <f ca="1">IF(($L$11+$P$11)=0,0,L10/($L$11+$P$11))</f>
        <v>0.66847826086956519</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0"/>
      <c r="D11" s="240"/>
      <c r="E11" s="193">
        <f ca="1">SUM(VALUE(LEFT(E8,SEARCH(" ",E8)-1)),VALUE(LEFT(E9,SEARCH(" ",E9)-1)))</f>
        <v>22</v>
      </c>
      <c r="F11" s="193">
        <f ca="1">SUM(VALUE(LEFT(F8,SEARCH(" ",F8)-1)),VALUE(LEFT(F9,SEARCH(" ",F9)-1)))</f>
        <v>20</v>
      </c>
      <c r="G11" s="193">
        <f ca="1">SUM(VALUE(LEFT(G8,SEARCH(" ",G8)-1)),VALUE(LEFT(G9,SEARCH(" ",G9)-1)))</f>
        <v>95</v>
      </c>
      <c r="H11" s="193">
        <f ca="1">SUM(H8:H9)</f>
        <v>0</v>
      </c>
      <c r="I11" s="193">
        <f ca="1">SUM(I8:I9)</f>
        <v>0</v>
      </c>
      <c r="K11" s="43" t="s">
        <v>266</v>
      </c>
      <c r="L11" s="203">
        <f ca="1">SUM(L8:L10)</f>
        <v>1840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267</v>
      </c>
      <c r="E13" s="18"/>
      <c r="F13" s="243" t="s">
        <v>268</v>
      </c>
      <c r="G13" s="244"/>
      <c r="H13" s="244"/>
      <c r="I13" s="245"/>
      <c r="J13" s="18"/>
      <c r="K13" s="243" t="s">
        <v>269</v>
      </c>
      <c r="L13" s="245"/>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5.24</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262</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270</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PRINCIPAL</v>
      </c>
      <c r="D20" s="74" t="str" cm="1">
        <f t="array" ref="D20">IFERROR(INDEX('03.Muestra'!$F$8:$F$42,SMALL(IF("Página Web"='03.Muestra'!$D$8:$D$42,ROW('03.Muestra'!$F$8:$F$42)-MIN(ROW('03.Muestra'!$D$8:$D$42))+1,""),ROW()-19)),"")</f>
        <v>https://www.comunidad.madrid/hospital/santacristina/</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N/A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Falla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https://www.comunidad.madrid/hospital/santacristina/ciudadanos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N/A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Falla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Falla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Falla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Falla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https://www.comunidad.madrid/hospital/santacristina/profesionales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N/A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Falla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Falla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Falla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COMUNICACIÓN</v>
      </c>
      <c r="D23" s="74" t="str" cm="1">
        <f t="array" ref="D23">IFERROR(INDEX('03.Muestra'!$F$8:$F$42,SMALL(IF("Página Web"='03.Muestra'!$D$8:$D$42,ROW('03.Muestra'!$F$8:$F$42)-MIN(ROW('03.Muestra'!$D$8:$D$42))+1,""),ROW()-19)),"")</f>
        <v>https://www.comunidad.madrid/hospital/santacristina/comunicacion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N/A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Falla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Falla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Falla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Falla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https://www.comunidad.madrid/hospital/santacristina/nosotros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N/A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Falla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Falla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Falla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BUSCADOR</v>
      </c>
      <c r="D25" s="74" t="str" cm="1">
        <f t="array" ref="D25">IFERROR(INDEX('03.Muestra'!$F$8:$F$42,SMALL(IF("Página Web"='03.Muestra'!$D$8:$D$42,ROW('03.Muestra'!$F$8:$F$42)-MIN(ROW('03.Muestra'!$D$8:$D$42))+1,""),ROW()-19)),"")</f>
        <v>https://www.comunidad.madrid/hospital/santacristina/buscar?search_api_fulltext=&amp;nombre=</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N/A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Falla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Falla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Falla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ATENCIÓN AL PACIENTE</v>
      </c>
      <c r="D26" s="74" t="str" cm="1">
        <f t="array" ref="D26">IFERROR(INDEX('03.Muestra'!$F$8:$F$42,SMALL(IF("Página Web"='03.Muestra'!$D$8:$D$42,ROW('03.Muestra'!$F$8:$F$42)-MIN(ROW('03.Muestra'!$D$8:$D$42))+1,""),ROW()-19)),"")</f>
        <v>https://www.comunidad.madrid/hospital/santacristina/ciudadanos/atencion-paciente</v>
      </c>
      <c r="E26" s="75" t="str" cm="1">
        <f t="array" aca="1" ref="E26" ca="1">IF($B26="","",IF(ISBLANK(INDIRECT("R5.Genéricos!D"&amp;SUM(18,38*0,7))),"",INDIRECT("R5.Genéricos!D"&amp;SUM(18,38*0,7))))</f>
        <v>Falla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N/A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Falla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Falla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Falla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Falla</v>
      </c>
      <c r="CA26" s="75" t="str" cm="1">
        <f t="array" aca="1" ref="CA26" ca="1">IF($B26="","",IF(ISBLANK(INDIRECT("R9.Web!D"&amp;SUM(18,38*43,7))),"",INDIRECT("R9.Web!D"&amp;SUM(18,38*43,7))))</f>
        <v>Falla</v>
      </c>
      <c r="CB26" s="75" t="str" cm="1">
        <f t="array" aca="1" ref="CB26" ca="1">IF($B26="","",IF(ISBLANK(INDIRECT("R9.Web!D"&amp;SUM(18,38*44,7))),"",INDIRECT("R9.Web!D"&amp;SUM(18,38*44,7))))</f>
        <v>Pasa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Pasa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ATENCIÓN ESPIRITUAL</v>
      </c>
      <c r="D27" s="74" t="str" cm="1">
        <f t="array" ref="D27">IFERROR(INDEX('03.Muestra'!$F$8:$F$42,SMALL(IF("Página Web"='03.Muestra'!$D$8:$D$42,ROW('03.Muestra'!$F$8:$F$42)-MIN(ROW('03.Muestra'!$D$8:$D$42))+1,""),ROW()-19)),"")</f>
        <v>https://www.comunidad.madrid/hospital/santacristina/ciudadanos/atencion-espiritual-religiosa</v>
      </c>
      <c r="E27" s="75" t="str" cm="1">
        <f t="array" aca="1" ref="E27" ca="1">IF($B27="","",IF(ISBLANK(INDIRECT("R5.Genéricos!D"&amp;SUM(18,38*0,8))),"",INDIRECT("R5.Genéricos!D"&amp;SUM(18,38*0,8))))</f>
        <v>Falla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N/A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Falla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Falla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Falla</v>
      </c>
      <c r="CA27" s="75" t="str" cm="1">
        <f t="array" aca="1" ref="CA27" ca="1">IF($B27="","",IF(ISBLANK(INDIRECT("R9.Web!D"&amp;SUM(18,38*43,8))),"",INDIRECT("R9.Web!D"&amp;SUM(18,38*43,8))))</f>
        <v>Falla</v>
      </c>
      <c r="CB27" s="75" t="str" cm="1">
        <f t="array" aca="1" ref="CB27" ca="1">IF($B27="","",IF(ISBLANK(INDIRECT("R9.Web!D"&amp;SUM(18,38*44,8))),"",INDIRECT("R9.Web!D"&amp;SUM(18,38*44,8))))</f>
        <v>Pasa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Pasa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LOCALIZACIÓN Y ACCESO</v>
      </c>
      <c r="D28" s="74" t="str" cm="1">
        <f t="array" ref="D28">IFERROR(INDEX('03.Muestra'!$F$8:$F$42,SMALL(IF("Página Web"='03.Muestra'!$D$8:$D$42,ROW('03.Muestra'!$F$8:$F$42)-MIN(ROW('03.Muestra'!$D$8:$D$42))+1,""),ROW()-19)),"")</f>
        <v>https://www.comunidad.madrid/hospital/santacristina/ciudadanos/localizacion-acceso</v>
      </c>
      <c r="E28" s="75" t="str" cm="1">
        <f t="array" aca="1" ref="E28" ca="1">IF($B28="","",IF(ISBLANK(INDIRECT("R5.Genéricos!D"&amp;SUM(18,38*0,9))),"",INDIRECT("R5.Genéricos!D"&amp;SUM(18,38*0,9))))</f>
        <v>Falla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N/A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Falla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Falla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Falla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GUÍAS DE USUARIO</v>
      </c>
      <c r="D29" s="74" t="str" cm="1">
        <f t="array" ref="D29">IFERROR(INDEX('03.Muestra'!$F$8:$F$42,SMALL(IF("Página Web"='03.Muestra'!$D$8:$D$42,ROW('03.Muestra'!$F$8:$F$42)-MIN(ROW('03.Muestra'!$D$8:$D$42))+1,""),ROW()-19)),"")</f>
        <v>https://www.comunidad.madrid/hospital/santacristina/ciudadanos/guias-usuario</v>
      </c>
      <c r="E29" s="75" t="str" cm="1">
        <f t="array" aca="1" ref="E29" ca="1">IF($B29="","",IF(ISBLANK(INDIRECT("R5.Genéricos!D"&amp;SUM(18,38*0,10))),"",INDIRECT("R5.Genéricos!D"&amp;SUM(18,38*0,10))))</f>
        <v>Falla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N/A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Falla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Falla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SERVICIOS QUIRÚRGICOS</v>
      </c>
      <c r="D30" s="74" t="str" cm="1">
        <f t="array" ref="D30">IFERROR(INDEX('03.Muestra'!$F$8:$F$42,SMALL(IF("Página Web"='03.Muestra'!$D$8:$D$42,ROW('03.Muestra'!$F$8:$F$42)-MIN(ROW('03.Muestra'!$D$8:$D$42))+1,""),ROW()-19)),"")</f>
        <v>https://www.comunidad.madrid/hospital/santacristina/profesionales/servicios-quirurgicos-0</v>
      </c>
      <c r="E30" s="75" t="str" cm="1">
        <f t="array" aca="1" ref="E30" ca="1">IF($B30="","",IF(ISBLANK(INDIRECT("R5.Genéricos!D"&amp;SUM(18,38*0,11))),"",INDIRECT("R5.Genéricos!D"&amp;SUM(18,38*0,11))))</f>
        <v>Falla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N/A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Falla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Falla</v>
      </c>
      <c r="BB30" s="75" t="str" cm="1">
        <f t="array" aca="1" ref="BB30" ca="1">IF($B30="","",IF(ISBLANK(INDIRECT("R9.Web!D"&amp;SUM(18,38*18,11))),"",INDIRECT("R9.Web!D"&amp;SUM(18,38*18,11))))</f>
        <v>N/A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Falla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Falla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399999999999999">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INVESTIGACIÓN</v>
      </c>
      <c r="D31" s="74" t="str" cm="1">
        <f t="array" ref="D31">IFERROR(INDEX('03.Muestra'!$F$8:$F$42,SMALL(IF("Página Web"='03.Muestra'!$D$8:$D$42,ROW('03.Muestra'!$F$8:$F$42)-MIN(ROW('03.Muestra'!$D$8:$D$42))+1,""),ROW()-19)),"")</f>
        <v>https://www.comunidad.madrid/hospital/santacristina/profesionales/investigacion-0</v>
      </c>
      <c r="E31" s="75" t="str" cm="1">
        <f t="array" aca="1" ref="E31" ca="1">IF($B31="","",IF(ISBLANK(INDIRECT("R5.Genéricos!D"&amp;SUM(18,38*0,12))),"",INDIRECT("R5.Genéricos!D"&amp;SUM(18,38*0,12))))</f>
        <v>Falla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N/A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Falla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Falla</v>
      </c>
      <c r="AS31" s="75" t="str" cm="1">
        <f t="array" aca="1" ref="AS31" ca="1">IF($B31="","",IF(ISBLANK(INDIRECT("R9.Web!D"&amp;SUM(18,38*9,12))),"",INDIRECT("R9.Web!D"&amp;SUM(18,38*9,12))))</f>
        <v>N/A</v>
      </c>
      <c r="AT31" s="75" t="str" cm="1">
        <f t="array" aca="1" ref="AT31" ca="1">IF($B31="","",IF(ISBLANK(INDIRECT("R9.Web!D"&amp;SUM(18,38*10,12))),"",INDIRECT("R9.Web!D"&amp;SUM(18,38*10,12))))</f>
        <v>N/A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Falla</v>
      </c>
      <c r="BB31" s="75" t="str" cm="1">
        <f t="array" aca="1" ref="BB31" ca="1">IF($B31="","",IF(ISBLANK(INDIRECT("R9.Web!D"&amp;SUM(18,38*18,12))),"",INDIRECT("R9.Web!D"&amp;SUM(18,38*18,12))))</f>
        <v>N/A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Falla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Falla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Falla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399999999999999">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NOTICIAS</v>
      </c>
      <c r="D32" s="74" t="str" cm="1">
        <f t="array" ref="D32">IFERROR(INDEX('03.Muestra'!$F$8:$F$42,SMALL(IF("Página Web"='03.Muestra'!$D$8:$D$42,ROW('03.Muestra'!$F$8:$F$42)-MIN(ROW('03.Muestra'!$D$8:$D$42))+1,""),ROW()-19)),"")</f>
        <v>https://www.comunidad.madrid/hospital/santacristina/comunicacion/noticias</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N/A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Falla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Falla</v>
      </c>
      <c r="AS32" s="75" t="str" cm="1">
        <f t="array" aca="1" ref="AS32" ca="1">IF($B32="","",IF(ISBLANK(INDIRECT("R9.Web!D"&amp;SUM(18,38*9,13))),"",INDIRECT("R9.Web!D"&amp;SUM(18,38*9,13))))</f>
        <v>N/A</v>
      </c>
      <c r="AT32" s="75" t="str" cm="1">
        <f t="array" aca="1" ref="AT32" ca="1">IF($B32="","",IF(ISBLANK(INDIRECT("R9.Web!D"&amp;SUM(18,38*10,13))),"",INDIRECT("R9.Web!D"&amp;SUM(18,38*10,13))))</f>
        <v>N/A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Falla</v>
      </c>
      <c r="BB32" s="75" t="str" cm="1">
        <f t="array" aca="1" ref="BB32" ca="1">IF($B32="","",IF(ISBLANK(INDIRECT("R9.Web!D"&amp;SUM(18,38*18,13))),"",INDIRECT("R9.Web!D"&amp;SUM(18,38*18,13))))</f>
        <v>N/A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Falla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Falla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399999999999999">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ACTOS DEL CENTENARIO</v>
      </c>
      <c r="D33" s="74" t="str" cm="1">
        <f t="array" ref="D33">IFERROR(INDEX('03.Muestra'!$F$8:$F$42,SMALL(IF("Página Web"='03.Muestra'!$D$8:$D$42,ROW('03.Muestra'!$F$8:$F$42)-MIN(ROW('03.Muestra'!$D$8:$D$42))+1,""),ROW()-19)),"")</f>
        <v>https://www.comunidad.madrid/hospital/santacristina/nosotros/actos-centenario</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Pasa</v>
      </c>
      <c r="AB33" s="75" t="str" cm="1">
        <f t="array" aca="1" ref="AB33" ca="1">IF($B33="","",IF(ISBLANK(INDIRECT("R7.Video!D"&amp;SUM(18,38*1,14))),"",INDIRECT("R7.Video!D"&amp;SUM(18,38*1,14))))</f>
        <v>Pasa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N/A</v>
      </c>
      <c r="AK33" s="75" t="str" cm="1">
        <f t="array" aca="1" ref="AK33" ca="1">IF($B33="","",IF(ISBLANK(INDIRECT("R9.Web!D"&amp;SUM(18,38*1,14))),"",INDIRECT("R9.Web!D"&amp;SUM(18,38*1,14))))</f>
        <v>N/A</v>
      </c>
      <c r="AL33" s="75" t="str" cm="1">
        <f t="array" aca="1" ref="AL33" ca="1">IF($B33="","",IF(ISBLANK(INDIRECT("R9.Web!D"&amp;SUM(18,38*2,14))),"",INDIRECT("R9.Web!D"&amp;SUM(18,38*2,14))))</f>
        <v>Pasa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Falla</v>
      </c>
      <c r="AS33" s="75" t="str" cm="1">
        <f t="array" aca="1" ref="AS33" ca="1">IF($B33="","",IF(ISBLANK(INDIRECT("R9.Web!D"&amp;SUM(18,38*9,14))),"",INDIRECT("R9.Web!D"&amp;SUM(18,38*9,14))))</f>
        <v>N/A</v>
      </c>
      <c r="AT33" s="75" t="str" cm="1">
        <f t="array" aca="1" ref="AT33" ca="1">IF($B33="","",IF(ISBLANK(INDIRECT("R9.Web!D"&amp;SUM(18,38*10,14))),"",INDIRECT("R9.Web!D"&amp;SUM(18,38*10,14))))</f>
        <v>N/A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Falla</v>
      </c>
      <c r="BB33" s="75" t="str" cm="1">
        <f t="array" aca="1" ref="BB33" ca="1">IF($B33="","",IF(ISBLANK(INDIRECT("R9.Web!D"&amp;SUM(18,38*18,14))),"",INDIRECT("R9.Web!D"&amp;SUM(18,38*18,14))))</f>
        <v>N/A</v>
      </c>
      <c r="BC33" s="75" t="str" cm="1">
        <f t="array" aca="1" ref="BC33" ca="1">IF($B33="","",IF(ISBLANK(INDIRECT("R9.Web!D"&amp;SUM(18,38*19,14))),"",INDIRECT("R9.Web!D"&amp;SUM(18,38*19,14))))</f>
        <v>Falla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Falla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Falla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Falla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Falla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399999999999999">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ACCESIBILIDAD HOSPITAL</v>
      </c>
      <c r="D34" s="74" t="str" cm="1">
        <f t="array" ref="D34">IFERROR(INDEX('03.Muestra'!$F$8:$F$42,SMALL(IF("Página Web"='03.Muestra'!$D$8:$D$42,ROW('03.Muestra'!$F$8:$F$42)-MIN(ROW('03.Muestra'!$D$8:$D$42))+1,""),ROW()-19)),"")</f>
        <v>https://www.comunidad.madrid/hospital/santacristina/nosotros/accesibilidad-hospital</v>
      </c>
      <c r="E34" s="75" t="str" cm="1">
        <f t="array" aca="1" ref="E34" ca="1">IF($B34="","",IF(ISBLANK(INDIRECT("R5.Genéricos!D"&amp;SUM(18,38*0,15))),"",INDIRECT("R5.Genéricos!D"&amp;SUM(18,38*0,15))))</f>
        <v>Falla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N/A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Falla</v>
      </c>
      <c r="AS34" s="75" t="str" cm="1">
        <f t="array" aca="1" ref="AS34" ca="1">IF($B34="","",IF(ISBLANK(INDIRECT("R9.Web!D"&amp;SUM(18,38*9,15))),"",INDIRECT("R9.Web!D"&amp;SUM(18,38*9,15))))</f>
        <v>N/A</v>
      </c>
      <c r="AT34" s="75" t="str" cm="1">
        <f t="array" aca="1" ref="AT34" ca="1">IF($B34="","",IF(ISBLANK(INDIRECT("R9.Web!D"&amp;SUM(18,38*10,15))),"",INDIRECT("R9.Web!D"&amp;SUM(18,38*10,15))))</f>
        <v>N/A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Falla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Falla</v>
      </c>
      <c r="BB34" s="75" t="str" cm="1">
        <f t="array" aca="1" ref="BB34" ca="1">IF($B34="","",IF(ISBLANK(INDIRECT("R9.Web!D"&amp;SUM(18,38*18,15))),"",INDIRECT("R9.Web!D"&amp;SUM(18,38*18,15))))</f>
        <v>N/A</v>
      </c>
      <c r="BC34" s="75" t="str" cm="1">
        <f t="array" aca="1" ref="BC34" ca="1">IF($B34="","",IF(ISBLANK(INDIRECT("R9.Web!D"&amp;SUM(18,38*19,15))),"",INDIRECT("R9.Web!D"&amp;SUM(18,38*19,15))))</f>
        <v>Falla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Pasa</v>
      </c>
      <c r="BM34" s="75" t="str" cm="1">
        <f t="array" aca="1" ref="BM34" ca="1">IF($B34="","",IF(ISBLANK(INDIRECT("R9.Web!D"&amp;SUM(18,38*29,15))),"",INDIRECT("R9.Web!D"&amp;SUM(18,38*29,15))))</f>
        <v>Pasa</v>
      </c>
      <c r="BN34" s="75" t="str" cm="1">
        <f t="array" aca="1" ref="BN34" ca="1">IF($B34="","",IF(ISBLANK(INDIRECT("R9.Web!D"&amp;SUM(18,38*30,15))),"",INDIRECT("R9.Web!D"&amp;SUM(18,38*30,15))))</f>
        <v>Falla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Falla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Falla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Falla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399999999999999">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CARTERA DE SERVICIOS</v>
      </c>
      <c r="D35" s="74" t="str" cm="1">
        <f t="array" ref="D35">IFERROR(INDEX('03.Muestra'!$F$8:$F$42,SMALL(IF("Página Web"='03.Muestra'!$D$8:$D$42,ROW('03.Muestra'!$F$8:$F$42)-MIN(ROW('03.Muestra'!$D$8:$D$42))+1,""),ROW()-19)),"")</f>
        <v>https://www.comunidad.madrid/hospital/santacristina/nosotros/cartera-servicios</v>
      </c>
      <c r="E35" s="75" t="str" cm="1">
        <f t="array" aca="1" ref="E35" ca="1">IF($B35="","",IF(ISBLANK(INDIRECT("R5.Genéricos!D"&amp;SUM(18,38*0,16))),"",INDIRECT("R5.Genéricos!D"&amp;SUM(18,38*0,16))))</f>
        <v>Falla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N/A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Falla</v>
      </c>
      <c r="AS35" s="75" t="str" cm="1">
        <f t="array" aca="1" ref="AS35" ca="1">IF($B35="","",IF(ISBLANK(INDIRECT("R9.Web!D"&amp;SUM(18,38*9,16))),"",INDIRECT("R9.Web!D"&amp;SUM(18,38*9,16))))</f>
        <v>N/A</v>
      </c>
      <c r="AT35" s="75" t="str" cm="1">
        <f t="array" aca="1" ref="AT35" ca="1">IF($B35="","",IF(ISBLANK(INDIRECT("R9.Web!D"&amp;SUM(18,38*10,16))),"",INDIRECT("R9.Web!D"&amp;SUM(18,38*10,16))))</f>
        <v>N/A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Falla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Falla</v>
      </c>
      <c r="BB35" s="75" t="str" cm="1">
        <f t="array" aca="1" ref="BB35" ca="1">IF($B35="","",IF(ISBLANK(INDIRECT("R9.Web!D"&amp;SUM(18,38*18,16))),"",INDIRECT("R9.Web!D"&amp;SUM(18,38*18,16))))</f>
        <v>N/A</v>
      </c>
      <c r="BC35" s="75" t="str" cm="1">
        <f t="array" aca="1" ref="BC35" ca="1">IF($B35="","",IF(ISBLANK(INDIRECT("R9.Web!D"&amp;SUM(18,38*19,16))),"",INDIRECT("R9.Web!D"&amp;SUM(18,38*19,16))))</f>
        <v>Falla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Falla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Falla</v>
      </c>
      <c r="BO35" s="75" t="str" cm="1">
        <f t="array" aca="1" ref="BO35" ca="1">IF($B35="","",IF(ISBLANK(INDIRECT("R9.Web!D"&amp;SUM(18,38*31,16))),"",INDIRECT("R9.Web!D"&amp;SUM(18,38*31,16))))</f>
        <v>Falla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Falla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Falla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399999999999999">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CONTACTO</v>
      </c>
      <c r="D36" s="74" t="str" cm="1">
        <f t="array" ref="D36">IFERROR(INDEX('03.Muestra'!$F$8:$F$42,SMALL(IF("Página Web"='03.Muestra'!$D$8:$D$42,ROW('03.Muestra'!$F$8:$F$42)-MIN(ROW('03.Muestra'!$D$8:$D$42))+1,""),ROW()-19)),"")</f>
        <v>https://www.comunidad.madrid/hospital/santacristina/comunicacion/contacto</v>
      </c>
      <c r="E36" s="75" t="str" cm="1">
        <f t="array" aca="1" ref="E36" ca="1">IF($B36="","",IF(ISBLANK(INDIRECT("R5.Genéricos!D"&amp;SUM(18,38*0,17))),"",INDIRECT("R5.Genéricos!D"&amp;SUM(18,38*0,17))))</f>
        <v>Falla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N/A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Falla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Falla</v>
      </c>
      <c r="AS36" s="75" t="str" cm="1">
        <f t="array" aca="1" ref="AS36" ca="1">IF($B36="","",IF(ISBLANK(INDIRECT("R9.Web!D"&amp;SUM(18,38*9,17))),"",INDIRECT("R9.Web!D"&amp;SUM(18,38*9,17))))</f>
        <v>N/A</v>
      </c>
      <c r="AT36" s="75" t="str" cm="1">
        <f t="array" aca="1" ref="AT36" ca="1">IF($B36="","",IF(ISBLANK(INDIRECT("R9.Web!D"&amp;SUM(18,38*10,17))),"",INDIRECT("R9.Web!D"&amp;SUM(18,38*10,17))))</f>
        <v>Falla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Falla</v>
      </c>
      <c r="AX36" s="75" t="str" cm="1">
        <f t="array" aca="1" ref="AX36" ca="1">IF($B36="","",IF(ISBLANK(INDIRECT("R9.Web!D"&amp;SUM(18,38*14,17))),"",INDIRECT("R9.Web!D"&amp;SUM(18,38*14,17))))</f>
        <v>N/A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Falla</v>
      </c>
      <c r="BB36" s="75" t="str" cm="1">
        <f t="array" aca="1" ref="BB36" ca="1">IF($B36="","",IF(ISBLANK(INDIRECT("R9.Web!D"&amp;SUM(18,38*18,17))),"",INDIRECT("R9.Web!D"&amp;SUM(18,38*18,17))))</f>
        <v>N/A</v>
      </c>
      <c r="BC36" s="75" t="str" cm="1">
        <f t="array" aca="1" ref="BC36" ca="1">IF($B36="","",IF(ISBLANK(INDIRECT("R9.Web!D"&amp;SUM(18,38*19,17))),"",INDIRECT("R9.Web!D"&amp;SUM(18,38*19,17))))</f>
        <v>Falla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Falla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Falla</v>
      </c>
      <c r="BO36" s="75" t="str" cm="1">
        <f t="array" aca="1" ref="BO36" ca="1">IF($B36="","",IF(ISBLANK(INDIRECT("R9.Web!D"&amp;SUM(18,38*31,17))),"",INDIRECT("R9.Web!D"&amp;SUM(18,38*31,17))))</f>
        <v>Falla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Falla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Falla</v>
      </c>
      <c r="CA36" s="75" t="str" cm="1">
        <f t="array" aca="1" ref="CA36" ca="1">IF($B36="","",IF(ISBLANK(INDIRECT("R9.Web!D"&amp;SUM(18,38*43,17))),"",INDIRECT("R9.Web!D"&amp;SUM(18,38*43,17))))</f>
        <v>Falla</v>
      </c>
      <c r="CB36" s="75" t="str" cm="1">
        <f t="array" aca="1" ref="CB36" ca="1">IF($B36="","",IF(ISBLANK(INDIRECT("R9.Web!D"&amp;SUM(18,38*44,17))),"",INDIRECT("R9.Web!D"&amp;SUM(18,38*44,17))))</f>
        <v>Pasa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Pasa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399999999999999">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ACCESIBILIDAD</v>
      </c>
      <c r="D37" s="74" t="str" cm="1">
        <f t="array" ref="D37">IFERROR(INDEX('03.Muestra'!$F$8:$F$42,SMALL(IF("Página Web"='03.Muestra'!$D$8:$D$42,ROW('03.Muestra'!$F$8:$F$42)-MIN(ROW('03.Muestra'!$D$8:$D$42))+1,""),ROW()-19)),"")</f>
        <v>https://www.comunidad.madrid/hospital/santacristina/declaracion-accesibilidad</v>
      </c>
      <c r="E37" s="75" t="str" cm="1">
        <f t="array" aca="1" ref="E37" ca="1">IF($B37="","",IF(ISBLANK(INDIRECT("R5.Genéricos!D"&amp;SUM(18,38*0,18))),"",INDIRECT("R5.Genéricos!D"&amp;SUM(18,38*0,18))))</f>
        <v>N/A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N/A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Pasa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Falla</v>
      </c>
      <c r="AS37" s="75" t="str" cm="1">
        <f t="array" aca="1" ref="AS37" ca="1">IF($B37="","",IF(ISBLANK(INDIRECT("R9.Web!D"&amp;SUM(18,38*9,18))),"",INDIRECT("R9.Web!D"&amp;SUM(18,38*9,18))))</f>
        <v>N/A</v>
      </c>
      <c r="AT37" s="75" t="str" cm="1">
        <f t="array" aca="1" ref="AT37" ca="1">IF($B37="","",IF(ISBLANK(INDIRECT("R9.Web!D"&amp;SUM(18,38*10,18))),"",INDIRECT("R9.Web!D"&amp;SUM(18,38*10,18))))</f>
        <v>N/A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Falla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Pasa</v>
      </c>
      <c r="BB37" s="75" t="str" cm="1">
        <f t="array" aca="1" ref="BB37" ca="1">IF($B37="","",IF(ISBLANK(INDIRECT("R9.Web!D"&amp;SUM(18,38*18,18))),"",INDIRECT("R9.Web!D"&amp;SUM(18,38*18,18))))</f>
        <v>N/A</v>
      </c>
      <c r="BC37" s="75" t="str" cm="1">
        <f t="array" aca="1" ref="BC37" ca="1">IF($B37="","",IF(ISBLANK(INDIRECT("R9.Web!D"&amp;SUM(18,38*19,18))),"",INDIRECT("R9.Web!D"&amp;SUM(18,38*19,18))))</f>
        <v>Falla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Pasa</v>
      </c>
      <c r="BJ37" s="75" t="str" cm="1">
        <f t="array" aca="1" ref="BJ37" ca="1">IF($B37="","",IF(ISBLANK(INDIRECT("R9.Web!D"&amp;SUM(18,38*26,18))),"",INDIRECT("R9.Web!D"&amp;SUM(18,38*26,18))))</f>
        <v>Pasa</v>
      </c>
      <c r="BK37" s="75" t="str" cm="1">
        <f t="array" aca="1" ref="BK37" ca="1">IF($B37="","",IF(ISBLANK(INDIRECT("R9.Web!D"&amp;SUM(18,38*27,18))),"",INDIRECT("R9.Web!D"&amp;SUM(18,38*27,18))))</f>
        <v>Falla</v>
      </c>
      <c r="BL37" s="75" t="str" cm="1">
        <f t="array" aca="1" ref="BL37" ca="1">IF($B37="","",IF(ISBLANK(INDIRECT("R9.Web!D"&amp;SUM(18,38*28,18))),"",INDIRECT("R9.Web!D"&amp;SUM(18,38*28,18))))</f>
        <v>Pasa</v>
      </c>
      <c r="BM37" s="75" t="str" cm="1">
        <f t="array" aca="1" ref="BM37" ca="1">IF($B37="","",IF(ISBLANK(INDIRECT("R9.Web!D"&amp;SUM(18,38*29,18))),"",INDIRECT("R9.Web!D"&amp;SUM(18,38*29,18))))</f>
        <v>Pasa</v>
      </c>
      <c r="BN37" s="75" t="str" cm="1">
        <f t="array" aca="1" ref="BN37" ca="1">IF($B37="","",IF(ISBLANK(INDIRECT("R9.Web!D"&amp;SUM(18,38*30,18))),"",INDIRECT("R9.Web!D"&amp;SUM(18,38*30,18))))</f>
        <v>Falla</v>
      </c>
      <c r="BO37" s="75" t="str" cm="1">
        <f t="array" aca="1" ref="BO37" ca="1">IF($B37="","",IF(ISBLANK(INDIRECT("R9.Web!D"&amp;SUM(18,38*31,18))),"",INDIRECT("R9.Web!D"&amp;SUM(18,38*31,18))))</f>
        <v>Falla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Falla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Falla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Pasa</v>
      </c>
      <c r="CO37" s="75" t="str" cm="1">
        <f t="array" aca="1" ref="CO37" ca="1">IF($B37="","",IF(ISBLANK(INDIRECT("R12.ServiciosApoyo!D"&amp;SUM(18,38*1,18))),"",INDIRECT("R12.ServiciosApoyo!D"&amp;SUM(18,38*1,18))))</f>
        <v>Falla</v>
      </c>
      <c r="CP37" s="75" t="str" cm="1">
        <f t="array" aca="1" ref="CP37" ca="1">IF($B37="","",IF(ISBLANK(INDIRECT("R12.ServiciosApoyo!D"&amp;SUM(18,38*2,18))),"",INDIRECT("R12.ServiciosApoyo!D"&amp;SUM(18,38*2,18))))</f>
        <v>Pasa</v>
      </c>
      <c r="CQ37" s="75" t="str" cm="1">
        <f t="array" aca="1" ref="CQ37" ca="1">IF($B37="","",IF(ISBLANK(INDIRECT("R12.ServiciosApoyo!D"&amp;SUM(18,38*3,18))),"",INDIRECT("R12.ServiciosApoyo!D"&amp;SUM(18,38*3,18))))</f>
        <v>Pasa</v>
      </c>
      <c r="CR37" s="75" t="str" cm="1">
        <f t="array" aca="1" ref="CR37" ca="1">IF($B37="","",IF(ISBLANK(INDIRECT("R12.ServiciosApoyo!D"&amp;SUM(18,38*4,18))),"",INDIRECT("R12.ServiciosApoyo!D"&amp;SUM(18,38*4,18))))</f>
        <v>Falla</v>
      </c>
      <c r="CU37" s="76"/>
    </row>
    <row r="38" spans="2:99" ht="20.399999999999999">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LEGAL</v>
      </c>
      <c r="D38" s="74" t="str" cm="1">
        <f t="array" ref="D38">IFERROR(INDEX('03.Muestra'!$F$8:$F$42,SMALL(IF("Página Web"='03.Muestra'!$D$8:$D$42,ROW('03.Muestra'!$F$8:$F$42)-MIN(ROW('03.Muestra'!$D$8:$D$42))+1,""),ROW()-19)),"")</f>
        <v>https://www.comunidad.madrid/hospital/santacristina/ciudadanos/aviso-legal-privacidad</v>
      </c>
      <c r="E38" s="75" t="str" cm="1">
        <f t="array" aca="1" ref="E38" ca="1">IF($B38="","",IF(ISBLANK(INDIRECT("R5.Genéricos!D"&amp;SUM(18,38*0,19))),"",INDIRECT("R5.Genéricos!D"&amp;SUM(18,38*0,19))))</f>
        <v>Falla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N/A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Pasa</v>
      </c>
      <c r="AP38" s="75" t="str" cm="1">
        <f t="array" aca="1" ref="AP38" ca="1">IF($B38="","",IF(ISBLANK(INDIRECT("R9.Web!D"&amp;SUM(18,38*6,19))),"",INDIRECT("R9.Web!D"&amp;SUM(18,38*6,19))))</f>
        <v>Falla</v>
      </c>
      <c r="AQ38" s="75" t="str" cm="1">
        <f t="array" aca="1" ref="AQ38" ca="1">IF($B38="","",IF(ISBLANK(INDIRECT("R9.Web!D"&amp;SUM(18,38*7,19))),"",INDIRECT("R9.Web!D"&amp;SUM(18,38*7,19))))</f>
        <v>Falla</v>
      </c>
      <c r="AR38" s="75" t="str" cm="1">
        <f t="array" aca="1" ref="AR38" ca="1">IF($B38="","",IF(ISBLANK(INDIRECT("R9.Web!D"&amp;SUM(18,38*8,19))),"",INDIRECT("R9.Web!D"&amp;SUM(18,38*8,19))))</f>
        <v>Falla</v>
      </c>
      <c r="AS38" s="75" t="str" cm="1">
        <f t="array" aca="1" ref="AS38" ca="1">IF($B38="","",IF(ISBLANK(INDIRECT("R9.Web!D"&amp;SUM(18,38*9,19))),"",INDIRECT("R9.Web!D"&amp;SUM(18,38*9,19))))</f>
        <v>N/A</v>
      </c>
      <c r="AT38" s="75" t="str" cm="1">
        <f t="array" aca="1" ref="AT38" ca="1">IF($B38="","",IF(ISBLANK(INDIRECT("R9.Web!D"&amp;SUM(18,38*10,19))),"",INDIRECT("R9.Web!D"&amp;SUM(18,38*10,19))))</f>
        <v>N/A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Falla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Falla</v>
      </c>
      <c r="BA38" s="75" t="str" cm="1">
        <f t="array" aca="1" ref="BA38" ca="1">IF($B38="","",IF(ISBLANK(INDIRECT("R9.Web!D"&amp;SUM(18,38*17,19))),"",INDIRECT("R9.Web!D"&amp;SUM(18,38*17,19))))</f>
        <v>Falla</v>
      </c>
      <c r="BB38" s="75" t="str" cm="1">
        <f t="array" aca="1" ref="BB38" ca="1">IF($B38="","",IF(ISBLANK(INDIRECT("R9.Web!D"&amp;SUM(18,38*18,19))),"",INDIRECT("R9.Web!D"&amp;SUM(18,38*18,19))))</f>
        <v>N/A</v>
      </c>
      <c r="BC38" s="75" t="str" cm="1">
        <f t="array" aca="1" ref="BC38" ca="1">IF($B38="","",IF(ISBLANK(INDIRECT("R9.Web!D"&amp;SUM(18,38*19,19))),"",INDIRECT("R9.Web!D"&amp;SUM(18,38*19,19))))</f>
        <v>Falla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Falla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Falla</v>
      </c>
      <c r="BO38" s="75" t="str" cm="1">
        <f t="array" aca="1" ref="BO38" ca="1">IF($B38="","",IF(ISBLANK(INDIRECT("R9.Web!D"&amp;SUM(18,38*31,19))),"",INDIRECT("R9.Web!D"&amp;SUM(18,38*31,19))))</f>
        <v>Falla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Falla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Falla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399999999999999">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MAPA WEB</v>
      </c>
      <c r="D39" s="74" t="str" cm="1">
        <f t="array" ref="D39">IFERROR(INDEX('03.Muestra'!$F$8:$F$42,SMALL(IF("Página Web"='03.Muestra'!$D$8:$D$42,ROW('03.Muestra'!$F$8:$F$42)-MIN(ROW('03.Muestra'!$D$8:$D$42))+1,""),ROW()-19)),"")</f>
        <v>https://www.comunidad.madrid/hospital/santacristina/sitemap</v>
      </c>
      <c r="E39" s="75" t="str" cm="1">
        <f t="array" aca="1" ref="E39" ca="1">IF($B39="","",IF(ISBLANK(INDIRECT("R5.Genéricos!D"&amp;SUM(18,38*0,20))),"",INDIRECT("R5.Genéricos!D"&amp;SUM(18,38*0,20))))</f>
        <v>N/A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N/A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Pasa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Falla</v>
      </c>
      <c r="AS39" s="75" t="str" cm="1">
        <f t="array" aca="1" ref="AS39" ca="1">IF($B39="","",IF(ISBLANK(INDIRECT("R9.Web!D"&amp;SUM(18,38*9,20))),"",INDIRECT("R9.Web!D"&amp;SUM(18,38*9,20))))</f>
        <v>N/A</v>
      </c>
      <c r="AT39" s="75" t="str" cm="1">
        <f t="array" aca="1" ref="AT39" ca="1">IF($B39="","",IF(ISBLANK(INDIRECT("R9.Web!D"&amp;SUM(18,38*10,20))),"",INDIRECT("R9.Web!D"&amp;SUM(18,38*10,20))))</f>
        <v>N/A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Falla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Pasa</v>
      </c>
      <c r="BB39" s="75" t="str" cm="1">
        <f t="array" aca="1" ref="BB39" ca="1">IF($B39="","",IF(ISBLANK(INDIRECT("R9.Web!D"&amp;SUM(18,38*18,20))),"",INDIRECT("R9.Web!D"&amp;SUM(18,38*18,20))))</f>
        <v>N/A</v>
      </c>
      <c r="BC39" s="75" t="str" cm="1">
        <f t="array" aca="1" ref="BC39" ca="1">IF($B39="","",IF(ISBLANK(INDIRECT("R9.Web!D"&amp;SUM(18,38*19,20))),"",INDIRECT("R9.Web!D"&amp;SUM(18,38*19,20))))</f>
        <v>Falla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Pasa</v>
      </c>
      <c r="BK39" s="75" t="str" cm="1">
        <f t="array" aca="1" ref="BK39" ca="1">IF($B39="","",IF(ISBLANK(INDIRECT("R9.Web!D"&amp;SUM(18,38*27,20))),"",INDIRECT("R9.Web!D"&amp;SUM(18,38*27,20))))</f>
        <v>Falla</v>
      </c>
      <c r="BL39" s="75" t="str" cm="1">
        <f t="array" aca="1" ref="BL39" ca="1">IF($B39="","",IF(ISBLANK(INDIRECT("R9.Web!D"&amp;SUM(18,38*28,20))),"",INDIRECT("R9.Web!D"&amp;SUM(18,38*28,20))))</f>
        <v>Pasa</v>
      </c>
      <c r="BM39" s="75" t="str" cm="1">
        <f t="array" aca="1" ref="BM39" ca="1">IF($B39="","",IF(ISBLANK(INDIRECT("R9.Web!D"&amp;SUM(18,38*29,20))),"",INDIRECT("R9.Web!D"&amp;SUM(18,38*29,20))))</f>
        <v>Pasa</v>
      </c>
      <c r="BN39" s="75" t="str" cm="1">
        <f t="array" aca="1" ref="BN39" ca="1">IF($B39="","",IF(ISBLANK(INDIRECT("R9.Web!D"&amp;SUM(18,38*30,20))),"",INDIRECT("R9.Web!D"&amp;SUM(18,38*30,20))))</f>
        <v>Falla</v>
      </c>
      <c r="BO39" s="75" t="str" cm="1">
        <f t="array" aca="1" ref="BO39" ca="1">IF($B39="","",IF(ISBLANK(INDIRECT("R9.Web!D"&amp;SUM(18,38*31,20))),"",INDIRECT("R9.Web!D"&amp;SUM(18,38*31,20))))</f>
        <v>Falla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Falla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Falla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N/A</v>
      </c>
      <c r="CO39" s="75" t="str" cm="1">
        <f t="array" aca="1" ref="CO39" ca="1">IF($B39="","",IF(ISBLANK(INDIRECT("R12.ServiciosApoyo!D"&amp;SUM(18,38*1,20))),"",INDIRECT("R12.ServiciosApoyo!D"&amp;SUM(18,38*1,20))))</f>
        <v>N/A</v>
      </c>
      <c r="CP39" s="75" t="str" cm="1">
        <f t="array" aca="1" ref="CP39" ca="1">IF($B39="","",IF(ISBLANK(INDIRECT("R12.ServiciosApoyo!D"&amp;SUM(18,38*2,20))),"",INDIRECT("R12.ServiciosApoyo!D"&amp;SUM(18,38*2,20))))</f>
        <v>N/A</v>
      </c>
      <c r="CQ39" s="75" t="str" cm="1">
        <f t="array" aca="1" ref="CQ39" ca="1">IF($B39="","",IF(ISBLANK(INDIRECT("R12.ServiciosApoyo!D"&amp;SUM(18,38*3,20))),"",INDIRECT("R12.ServiciosApoyo!D"&amp;SUM(18,38*3,20))))</f>
        <v>N/A</v>
      </c>
      <c r="CR39" s="75" t="str" cm="1">
        <f t="array" aca="1" ref="CR39" ca="1">IF($B39="","",IF(ISBLANK(INDIRECT("R12.ServiciosApoyo!D"&amp;SUM(18,38*4,20))),"",INDIRECT("R12.ServiciosApoyo!D"&amp;SUM(18,38*4,20))))</f>
        <v>N/A</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NO 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N/A</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399999999999999">
      <c r="AI56" s="76"/>
    </row>
    <row r="58" spans="2:99" ht="30.75" customHeight="1" thickBot="1">
      <c r="B58" s="254" t="s">
        <v>264</v>
      </c>
      <c r="C58" s="254"/>
      <c r="D58" s="254"/>
    </row>
    <row r="59" spans="2:99" ht="23.25" customHeight="1">
      <c r="B59" s="248" t="s">
        <v>270</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6">
      <c r="B23" s="30" t="s">
        <v>447</v>
      </c>
    </row>
    <row r="25" spans="2:15" ht="15.6">
      <c r="B25" s="31" t="s">
        <v>448</v>
      </c>
      <c r="C25" s="32">
        <v>0.1</v>
      </c>
    </row>
    <row r="26" spans="2:15" ht="15.6">
      <c r="B26" s="31" t="s">
        <v>449</v>
      </c>
      <c r="C26" s="32">
        <v>0.5</v>
      </c>
    </row>
    <row r="27" spans="2:15" ht="15.6">
      <c r="B27" s="31" t="s">
        <v>450</v>
      </c>
      <c r="C27" s="32">
        <v>1</v>
      </c>
    </row>
    <row r="28" spans="2:15">
      <c r="C28" s="33"/>
      <c r="D28" s="33"/>
    </row>
    <row r="29" spans="2:15">
      <c r="C29" s="33"/>
      <c r="D29" s="33"/>
    </row>
    <row r="30" spans="2:15" ht="13.8">
      <c r="B30" s="34" t="s">
        <v>451</v>
      </c>
      <c r="C30" s="208"/>
      <c r="D30" s="208"/>
    </row>
    <row r="31" spans="2:15" ht="13.8">
      <c r="B31" s="209"/>
      <c r="C31" s="208"/>
      <c r="D31" s="208"/>
    </row>
    <row r="32" spans="2:15" ht="13.8">
      <c r="B32" s="209" t="s">
        <v>452</v>
      </c>
      <c r="C32" s="209">
        <v>28</v>
      </c>
      <c r="D32" s="209"/>
    </row>
    <row r="33" spans="2:4" ht="13.8">
      <c r="B33" s="209" t="s">
        <v>453</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20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t="str">
        <f>'02.Tecnologías'!K13</f>
        <v>PHP/DRUPAL</v>
      </c>
      <c r="H3" s="112" t="str">
        <f>'02.Tecnologías'!L13</f>
        <v xml:space="preserve">https://www.drupal.org/project/drupal/releases/8.0.0 </v>
      </c>
      <c r="I3" s="162"/>
      <c r="J3" s="162"/>
      <c r="K3" s="118" t="s">
        <v>468</v>
      </c>
      <c r="L3" s="163">
        <f>'03.Muestra'!D47</f>
        <v>18</v>
      </c>
      <c r="M3" s="109"/>
      <c r="T3" s="113">
        <f>RESULTADOS!B20</f>
        <v>1</v>
      </c>
      <c r="U3" s="113" t="str">
        <f>RESULTADOS!C20</f>
        <v>PRINCIPAL</v>
      </c>
      <c r="V3" s="113" t="str">
        <f>IF(T3&lt;&gt;"","Página web","")</f>
        <v>Página web</v>
      </c>
      <c r="W3" s="113" t="str">
        <f t="array" ref="W3:W37">IFERROR(INDEX('03.Muestra'!$E$8:$E$42,SMALL(IF("Página Web"='03.Muestra'!$D$8:$D$42,ROW('03.Muestra'!$E$8:$E$42)-MIN(ROW('03.Muestra'!$D$8:$D$42))+1,""),ROW()-2)),"")</f>
        <v>Página inicio</v>
      </c>
      <c r="X3" s="113" t="str">
        <f>RESULTADOS!D20</f>
        <v>https://www.comunidad.madrid/hospital/santacristina/</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N/A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Falla</v>
      </c>
      <c r="BO3" s="111" t="str">
        <f ca="1">RESULTADOS!AS20</f>
        <v>N/A</v>
      </c>
      <c r="BP3" s="111" t="str">
        <f ca="1">RESULTADOS!AT20</f>
        <v>N/A</v>
      </c>
      <c r="BQ3" s="111" t="str">
        <f ca="1">RESULTADOS!AU20</f>
        <v>N/A</v>
      </c>
      <c r="BR3" s="111" t="str">
        <f ca="1">RESULTADOS!AV20</f>
        <v>Pasa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Falla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Falla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2</v>
      </c>
      <c r="M4" s="109"/>
      <c r="T4" s="113">
        <f>RESULTADOS!B21</f>
        <v>2</v>
      </c>
      <c r="U4" s="113" t="str">
        <f>RESULTADOS!C21</f>
        <v>CIUDADANOS</v>
      </c>
      <c r="V4" s="113" t="str">
        <f t="shared" ref="V4:V37" si="0">IF(T4&lt;&gt;"","Página web","")</f>
        <v>Página web</v>
      </c>
      <c r="W4" s="113" t="str">
        <v>Pagina tipo</v>
      </c>
      <c r="X4" s="113" t="str">
        <f>RESULTADOS!D21</f>
        <v>https://www.comunidad.madrid/hospital/santacristina/ciudadanos</v>
      </c>
      <c r="Y4" s="113" t="str">
        <v>Home &gt; Ciudadanos</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N/A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Falla</v>
      </c>
      <c r="BO4" s="111" t="str">
        <f ca="1">RESULTADOS!AS21</f>
        <v>N/A</v>
      </c>
      <c r="BP4" s="111" t="str">
        <f ca="1">RESULTADOS!AT21</f>
        <v>N/A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Falla</v>
      </c>
      <c r="BX4" s="111" t="str">
        <f ca="1">RESULTADOS!BB21</f>
        <v>N/A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Falla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Falla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https://www.comunidad.madrid/hospital/santacristina/profesionales</v>
      </c>
      <c r="Y5" s="113" t="str">
        <v>Home &gt;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N/A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Falla</v>
      </c>
      <c r="BO5" s="111" t="str">
        <f ca="1">RESULTADOS!AS22</f>
        <v>N/A</v>
      </c>
      <c r="BP5" s="111" t="str">
        <f ca="1">RESULTADOS!AT22</f>
        <v>N/A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Falla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Falla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Falla</v>
      </c>
      <c r="CX5" s="111" t="str">
        <f ca="1">RESULTADOS!CB22</f>
        <v>N/A</v>
      </c>
      <c r="CY5" s="111" t="str">
        <f ca="1">RESULTADOS!CC22</f>
        <v>N/A</v>
      </c>
      <c r="CZ5" s="111" t="str">
        <f ca="1">RESULTADOS!CD22</f>
        <v>N/A</v>
      </c>
      <c r="DA5" s="111" t="str">
        <f ca="1">RESULTADOS!CE22</f>
        <v>Pasa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COMUNICACIÓN</v>
      </c>
      <c r="V6" s="113" t="str">
        <f t="shared" si="0"/>
        <v>Página web</v>
      </c>
      <c r="W6" s="113" t="str">
        <v>Pagina tipo</v>
      </c>
      <c r="X6" s="113" t="str">
        <f>RESULTADOS!D23</f>
        <v>https://www.comunidad.madrid/hospital/santacristina/comunicacion</v>
      </c>
      <c r="Y6" s="113" t="str">
        <v>Home &gt; Comunicación</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N/A</v>
      </c>
      <c r="BG6" s="111" t="str">
        <f ca="1">RESULTADOS!AK23</f>
        <v>N/A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Falla</v>
      </c>
      <c r="BO6" s="111" t="str">
        <f ca="1">RESULTADOS!AS23</f>
        <v>N/A</v>
      </c>
      <c r="BP6" s="111" t="str">
        <f ca="1">RESULTADOS!AT23</f>
        <v>N/A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Falla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Falla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Falla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https://www.comunidad.madrid/hospital/santacristina/nosotros</v>
      </c>
      <c r="Y7" s="113" t="str">
        <v>Home &gt; Nosotros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N/A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Falla</v>
      </c>
      <c r="BO7" s="111" t="str">
        <f ca="1">RESULTADOS!AS24</f>
        <v>N/A</v>
      </c>
      <c r="BP7" s="111" t="str">
        <f ca="1">RESULTADOS!AT24</f>
        <v>N/A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Falla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Falla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Falla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BUSCADOR</v>
      </c>
      <c r="V8" s="113" t="str">
        <f t="shared" si="0"/>
        <v>Página web</v>
      </c>
      <c r="W8" s="113" t="str">
        <v>Búsqueda</v>
      </c>
      <c r="X8" s="113" t="str">
        <f>RESULTADOS!D25</f>
        <v>https://www.comunidad.madrid/hospital/santacristina/buscar?search_api_fulltext=&amp;nombre=</v>
      </c>
      <c r="Y8" s="113" t="str">
        <v>Home &gt; Lupa Buscar &gt; Botón Buscar</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N/A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Falla</v>
      </c>
      <c r="BO8" s="111" t="str">
        <f ca="1">RESULTADOS!AS25</f>
        <v>N/A</v>
      </c>
      <c r="BP8" s="111" t="str">
        <f ca="1">RESULTADOS!AT25</f>
        <v>Falla</v>
      </c>
      <c r="BQ8" s="111" t="str">
        <f ca="1">RESULTADOS!AU25</f>
        <v>N/A</v>
      </c>
      <c r="BR8" s="111" t="str">
        <f ca="1">RESULTADOS!AV25</f>
        <v>Falla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Falla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Falla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ATENCIÓN AL PACIENTE</v>
      </c>
      <c r="V9" s="113" t="str">
        <f t="shared" si="0"/>
        <v>Página web</v>
      </c>
      <c r="W9" s="113" t="str">
        <v>Pagina tipo</v>
      </c>
      <c r="X9" s="113" t="str">
        <f>RESULTADOS!D26</f>
        <v>https://www.comunidad.madrid/hospital/santacristina/ciudadanos/atencion-paciente</v>
      </c>
      <c r="Y9" s="113" t="str">
        <v>Home &gt; Ciudadanos &gt; Atención al paciente</v>
      </c>
      <c r="Z9" s="188">
        <v>0</v>
      </c>
      <c r="AA9" s="111" t="str">
        <f ca="1">RESULTADOS!E26</f>
        <v>Falla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N/A</v>
      </c>
      <c r="BG9" s="111" t="str">
        <f ca="1">RESULTADOS!AK26</f>
        <v>N/A</v>
      </c>
      <c r="BH9" s="111" t="str">
        <f ca="1">RESULTADOS!AL26</f>
        <v>N/A</v>
      </c>
      <c r="BI9" s="111" t="str">
        <f ca="1">RESULTADOS!AM26</f>
        <v>N/A</v>
      </c>
      <c r="BJ9" s="111" t="str">
        <f ca="1">RESULTADOS!AN26</f>
        <v>N/A</v>
      </c>
      <c r="BK9" s="111" t="str">
        <f ca="1">RESULTADOS!AO26</f>
        <v>Pasa</v>
      </c>
      <c r="BL9" s="111" t="str">
        <f ca="1">RESULTADOS!AP26</f>
        <v>Falla</v>
      </c>
      <c r="BM9" s="111" t="str">
        <f ca="1">RESULTADOS!AQ26</f>
        <v>Falla</v>
      </c>
      <c r="BN9" s="111" t="str">
        <f ca="1">RESULTADOS!AR26</f>
        <v>Falla</v>
      </c>
      <c r="BO9" s="111" t="str">
        <f ca="1">RESULTADOS!AS26</f>
        <v>N/A</v>
      </c>
      <c r="BP9" s="111" t="str">
        <f ca="1">RESULTADOS!AT26</f>
        <v>Falla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Falla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Falla</v>
      </c>
      <c r="CK9" s="111" t="str">
        <f ca="1">RESULTADOS!BO26</f>
        <v>Falla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Falla</v>
      </c>
      <c r="CW9" s="111" t="str">
        <f ca="1">RESULTADOS!CA26</f>
        <v>Falla</v>
      </c>
      <c r="CX9" s="111" t="str">
        <f ca="1">RESULTADOS!CB26</f>
        <v>Pasa</v>
      </c>
      <c r="CY9" s="111" t="str">
        <f ca="1">RESULTADOS!CC26</f>
        <v>N/A</v>
      </c>
      <c r="CZ9" s="111" t="str">
        <f ca="1">RESULTADOS!CD26</f>
        <v>N/A</v>
      </c>
      <c r="DA9" s="111" t="str">
        <f ca="1">RESULTADOS!CE26</f>
        <v>Pasa</v>
      </c>
      <c r="DB9" s="111" t="str">
        <f ca="1">RESULTADOS!CF26</f>
        <v>Pasa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Hospital Universitario Santa Cristina</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ATENCIÓN ESPIRITUAL</v>
      </c>
      <c r="V10" s="113" t="str">
        <f t="shared" si="0"/>
        <v>Página web</v>
      </c>
      <c r="W10" s="113" t="str">
        <v>Pagina tipo</v>
      </c>
      <c r="X10" s="113" t="str">
        <f>RESULTADOS!D27</f>
        <v>https://www.comunidad.madrid/hospital/santacristina/ciudadanos/atencion-espiritual-religiosa</v>
      </c>
      <c r="Y10" s="113" t="str">
        <v>Home &gt; Ciudadanos &gt; Atención  espiritual y religiosa</v>
      </c>
      <c r="Z10" s="188">
        <v>0</v>
      </c>
      <c r="AA10" s="111" t="str">
        <f ca="1">RESULTADOS!E27</f>
        <v>Falla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N/A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Falla</v>
      </c>
      <c r="BO10" s="111" t="str">
        <f ca="1">RESULTADOS!AS27</f>
        <v>N/A</v>
      </c>
      <c r="BP10" s="111" t="str">
        <f ca="1">RESULTADOS!AT27</f>
        <v>N/A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Falla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Falla</v>
      </c>
      <c r="CK10" s="111" t="str">
        <f ca="1">RESULTADOS!BO27</f>
        <v>Falla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Falla</v>
      </c>
      <c r="CW10" s="111" t="str">
        <f ca="1">RESULTADOS!CA27</f>
        <v>Falla</v>
      </c>
      <c r="CX10" s="111" t="str">
        <f ca="1">RESULTADOS!CB27</f>
        <v>Pasa</v>
      </c>
      <c r="CY10" s="111" t="str">
        <f ca="1">RESULTADOS!CC27</f>
        <v>N/A</v>
      </c>
      <c r="CZ10" s="111" t="str">
        <f ca="1">RESULTADOS!CD27</f>
        <v>N/A</v>
      </c>
      <c r="DA10" s="111" t="str">
        <f ca="1">RESULTADOS!CE27</f>
        <v>Pasa</v>
      </c>
      <c r="DB10" s="111" t="str">
        <f ca="1">RESULTADOS!CF27</f>
        <v>Pasa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https://www.comunidad.madrid/hospital/santacristina/</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LOCALIZACIÓN Y ACCESO</v>
      </c>
      <c r="V11" s="113" t="str">
        <f t="shared" si="0"/>
        <v>Página web</v>
      </c>
      <c r="W11" s="113" t="str">
        <v>Pagina tipo</v>
      </c>
      <c r="X11" s="113" t="str">
        <f>RESULTADOS!D28</f>
        <v>https://www.comunidad.madrid/hospital/santacristina/ciudadanos/localizacion-acceso</v>
      </c>
      <c r="Y11" s="113" t="str">
        <v>Home &gt; Ciudadanos &gt; Localización y Acceso</v>
      </c>
      <c r="Z11" s="188">
        <v>0</v>
      </c>
      <c r="AA11" s="111" t="str">
        <f ca="1">RESULTADOS!E28</f>
        <v>Falla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N/A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Falla</v>
      </c>
      <c r="BO11" s="111" t="str">
        <f ca="1">RESULTADOS!AS28</f>
        <v>N/A</v>
      </c>
      <c r="BP11" s="111" t="str">
        <f ca="1">RESULTADOS!AT28</f>
        <v>N/A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Falla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Pasa</v>
      </c>
      <c r="CJ11" s="111" t="str">
        <f ca="1">RESULTADOS!BN28</f>
        <v>Falla</v>
      </c>
      <c r="CK11" s="111" t="str">
        <f ca="1">RESULTADOS!BO28</f>
        <v>Falla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Falla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GUÍAS DE USUARIO</v>
      </c>
      <c r="V12" s="113" t="str">
        <f t="shared" si="0"/>
        <v>Página web</v>
      </c>
      <c r="W12" s="113" t="str">
        <v>Aleatoria</v>
      </c>
      <c r="X12" s="113" t="str">
        <f>RESULTADOS!D29</f>
        <v>https://www.comunidad.madrid/hospital/santacristina/ciudadanos/guias-usuario</v>
      </c>
      <c r="Y12" s="113" t="str">
        <v>Home &gt; Ciudadanos &gt; Guías de usuario</v>
      </c>
      <c r="Z12" s="188">
        <v>0</v>
      </c>
      <c r="AA12" s="111" t="str">
        <f ca="1">RESULTADOS!E29</f>
        <v>Falla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N/A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Falla</v>
      </c>
      <c r="BO12" s="111" t="str">
        <f ca="1">RESULTADOS!AS29</f>
        <v>N/A</v>
      </c>
      <c r="BP12" s="111" t="str">
        <f ca="1">RESULTADOS!AT29</f>
        <v>N/A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Falla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Falla</v>
      </c>
      <c r="CK12" s="111" t="str">
        <f ca="1">RESULTADOS!BO29</f>
        <v>Falla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Falla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Portal multisite del hospital Santa Cristina en Drupal 8</v>
      </c>
      <c r="E13" s="109" t="s">
        <v>58</v>
      </c>
      <c r="F13" s="112" t="str">
        <f>'02.Tecnologías'!I10</f>
        <v>No</v>
      </c>
      <c r="G13" s="112">
        <f>'02.Tecnologías'!K23</f>
        <v>0</v>
      </c>
      <c r="H13" s="112">
        <f>'02.Tecnologías'!L23</f>
        <v>0</v>
      </c>
      <c r="I13" s="162"/>
      <c r="J13" s="162"/>
      <c r="K13" t="s">
        <v>474</v>
      </c>
      <c r="L13" s="164" t="str">
        <f ca="1">RESULTADOS!E8</f>
        <v>22 (23,91 %)</v>
      </c>
      <c r="M13" s="164" t="str">
        <f ca="1">RESULTADOS!F8</f>
        <v>20 (21,74 %)</v>
      </c>
      <c r="N13" s="164" t="str">
        <f ca="1">RESULTADOS!G8</f>
        <v>50 (54,35 %)</v>
      </c>
      <c r="O13" s="113">
        <f ca="1">RESULTADOS!H8</f>
        <v>0</v>
      </c>
      <c r="P13" s="113">
        <f ca="1">RESULTADOS!I8</f>
        <v>0</v>
      </c>
      <c r="T13" s="113">
        <f>RESULTADOS!B30</f>
        <v>11</v>
      </c>
      <c r="U13" s="113" t="str">
        <f>RESULTADOS!C30</f>
        <v>SERVICIOS QUIRÚRGICOS</v>
      </c>
      <c r="V13" s="113" t="str">
        <f t="shared" si="0"/>
        <v>Página web</v>
      </c>
      <c r="W13" s="113" t="str">
        <v>Pagina tipo</v>
      </c>
      <c r="X13" s="113" t="str">
        <f>RESULTADOS!D30</f>
        <v>https://www.comunidad.madrid/hospital/santacristina/profesionales/servicios-quirurgicos-0</v>
      </c>
      <c r="Y13" s="113" t="str">
        <v>Home &gt; Profesionales &gt; Servicios quirúrgicos</v>
      </c>
      <c r="Z13" s="188">
        <v>0</v>
      </c>
      <c r="AA13" s="111" t="str">
        <f ca="1">RESULTADOS!E30</f>
        <v>Falla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N/A</v>
      </c>
      <c r="BG13" s="111" t="str">
        <f ca="1">RESULTADOS!AK30</f>
        <v>N/A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Falla</v>
      </c>
      <c r="BN13" s="111" t="str">
        <f ca="1">RESULTADOS!AR30</f>
        <v>Falla</v>
      </c>
      <c r="BO13" s="111" t="str">
        <f ca="1">RESULTADOS!AS30</f>
        <v>N/A</v>
      </c>
      <c r="BP13" s="111" t="str">
        <f ca="1">RESULTADOS!AT30</f>
        <v>N/A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Falla</v>
      </c>
      <c r="BW13" s="111" t="str">
        <f ca="1">RESULTADOS!BA30</f>
        <v>Falla</v>
      </c>
      <c r="BX13" s="111" t="str">
        <f ca="1">RESULTADOS!BB30</f>
        <v>N/A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Falla</v>
      </c>
      <c r="CH13" s="111" t="str">
        <f ca="1">RESULTADOS!BL30</f>
        <v>Pasa</v>
      </c>
      <c r="CI13" s="111" t="str">
        <f ca="1">RESULTADOS!BM30</f>
        <v>Pasa</v>
      </c>
      <c r="CJ13" s="111" t="str">
        <f ca="1">RESULTADOS!BN30</f>
        <v>Falla</v>
      </c>
      <c r="CK13" s="111" t="str">
        <f ca="1">RESULTADOS!BO30</f>
        <v>Falla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Falla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45747</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INVESTIGACIÓN</v>
      </c>
      <c r="V14" s="113" t="str">
        <f t="shared" si="0"/>
        <v>Página web</v>
      </c>
      <c r="W14" s="113" t="str">
        <v>Pagina tipo</v>
      </c>
      <c r="X14" s="113" t="str">
        <f>RESULTADOS!D31</f>
        <v>https://www.comunidad.madrid/hospital/santacristina/profesionales/investigacion-0</v>
      </c>
      <c r="Y14" s="113" t="str">
        <v>Home &gt; Profesionales &gt; Investigación</v>
      </c>
      <c r="Z14" s="188">
        <v>0</v>
      </c>
      <c r="AA14" s="111" t="str">
        <f ca="1">RESULTADOS!E31</f>
        <v>Falla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N/A</v>
      </c>
      <c r="BG14" s="111" t="str">
        <f ca="1">RESULTADOS!AK31</f>
        <v>N/A</v>
      </c>
      <c r="BH14" s="111" t="str">
        <f ca="1">RESULTADOS!AL31</f>
        <v>N/A</v>
      </c>
      <c r="BI14" s="111" t="str">
        <f ca="1">RESULTADOS!AM31</f>
        <v>N/A</v>
      </c>
      <c r="BJ14" s="111" t="str">
        <f ca="1">RESULTADOS!AN31</f>
        <v>N/A</v>
      </c>
      <c r="BK14" s="111" t="str">
        <f ca="1">RESULTADOS!AO31</f>
        <v>Falla</v>
      </c>
      <c r="BL14" s="111" t="str">
        <f ca="1">RESULTADOS!AP31</f>
        <v>Falla</v>
      </c>
      <c r="BM14" s="111" t="str">
        <f ca="1">RESULTADOS!AQ31</f>
        <v>Falla</v>
      </c>
      <c r="BN14" s="111" t="str">
        <f ca="1">RESULTADOS!AR31</f>
        <v>Falla</v>
      </c>
      <c r="BO14" s="111" t="str">
        <f ca="1">RESULTADOS!AS31</f>
        <v>N/A</v>
      </c>
      <c r="BP14" s="111" t="str">
        <f ca="1">RESULTADOS!AT31</f>
        <v>N/A</v>
      </c>
      <c r="BQ14" s="111" t="str">
        <f ca="1">RESULTADOS!AU31</f>
        <v>N/A</v>
      </c>
      <c r="BR14" s="111" t="str">
        <f ca="1">RESULTADOS!AV31</f>
        <v>Pasa</v>
      </c>
      <c r="BS14" s="111" t="str">
        <f ca="1">RESULTADOS!AW31</f>
        <v>Falla</v>
      </c>
      <c r="BT14" s="111" t="str">
        <f ca="1">RESULTADOS!AX31</f>
        <v>N/A</v>
      </c>
      <c r="BU14" s="111" t="str">
        <f ca="1">RESULTADOS!AY31</f>
        <v>Falla</v>
      </c>
      <c r="BV14" s="111" t="str">
        <f ca="1">RESULTADOS!AZ31</f>
        <v>Falla</v>
      </c>
      <c r="BW14" s="111" t="str">
        <f ca="1">RESULTADOS!BA31</f>
        <v>Falla</v>
      </c>
      <c r="BX14" s="111" t="str">
        <f ca="1">RESULTADOS!BB31</f>
        <v>N/A</v>
      </c>
      <c r="BY14" s="111" t="str">
        <f ca="1">RESULTADOS!BC31</f>
        <v>Falla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Falla</v>
      </c>
      <c r="CH14" s="111" t="str">
        <f ca="1">RESULTADOS!BL31</f>
        <v>Pasa</v>
      </c>
      <c r="CI14" s="111" t="str">
        <f ca="1">RESULTADOS!BM31</f>
        <v>Pasa</v>
      </c>
      <c r="CJ14" s="111" t="str">
        <f ca="1">RESULTADOS!BN31</f>
        <v>Falla</v>
      </c>
      <c r="CK14" s="111" t="str">
        <f ca="1">RESULTADOS!BO31</f>
        <v>Falla</v>
      </c>
      <c r="CL14" s="111" t="str">
        <f ca="1">RESULTADOS!BP31</f>
        <v>N/A</v>
      </c>
      <c r="CM14" s="111" t="str">
        <f ca="1">RESULTADOS!BQ31</f>
        <v>Pasa</v>
      </c>
      <c r="CN14" s="111" t="str">
        <f ca="1">RESULTADOS!BR31</f>
        <v>Falla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Falla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f>RESULTADOS!B32</f>
        <v>13</v>
      </c>
      <c r="U15" s="113" t="str">
        <f>RESULTADOS!C32</f>
        <v>NOTICIAS</v>
      </c>
      <c r="V15" s="113" t="str">
        <f t="shared" si="0"/>
        <v>Página web</v>
      </c>
      <c r="W15" s="113" t="str">
        <v>Pagina tipo</v>
      </c>
      <c r="X15" s="113" t="str">
        <f>RESULTADOS!D32</f>
        <v>https://www.comunidad.madrid/hospital/santacristina/comunicacion/noticias</v>
      </c>
      <c r="Y15" s="113" t="str">
        <v>Home &gt; Comunicación &gt; Noticias</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N/A</v>
      </c>
      <c r="BG15" s="111" t="str">
        <f ca="1">RESULTADOS!AK32</f>
        <v>N/A</v>
      </c>
      <c r="BH15" s="111" t="str">
        <f ca="1">RESULTADOS!AL32</f>
        <v>N/A</v>
      </c>
      <c r="BI15" s="111" t="str">
        <f ca="1">RESULTADOS!AM32</f>
        <v>N/A</v>
      </c>
      <c r="BJ15" s="111" t="str">
        <f ca="1">RESULTADOS!AN32</f>
        <v>N/A</v>
      </c>
      <c r="BK15" s="111" t="str">
        <f ca="1">RESULTADOS!AO32</f>
        <v>Falla</v>
      </c>
      <c r="BL15" s="111" t="str">
        <f ca="1">RESULTADOS!AP32</f>
        <v>Falla</v>
      </c>
      <c r="BM15" s="111" t="str">
        <f ca="1">RESULTADOS!AQ32</f>
        <v>Falla</v>
      </c>
      <c r="BN15" s="111" t="str">
        <f ca="1">RESULTADOS!AR32</f>
        <v>Falla</v>
      </c>
      <c r="BO15" s="111" t="str">
        <f ca="1">RESULTADOS!AS32</f>
        <v>N/A</v>
      </c>
      <c r="BP15" s="111" t="str">
        <f ca="1">RESULTADOS!AT32</f>
        <v>N/A</v>
      </c>
      <c r="BQ15" s="111" t="str">
        <f ca="1">RESULTADOS!AU32</f>
        <v>N/A</v>
      </c>
      <c r="BR15" s="111" t="str">
        <f ca="1">RESULTADOS!AV32</f>
        <v>Pasa</v>
      </c>
      <c r="BS15" s="111" t="str">
        <f ca="1">RESULTADOS!AW32</f>
        <v>Falla</v>
      </c>
      <c r="BT15" s="111" t="str">
        <f ca="1">RESULTADOS!AX32</f>
        <v>N/A</v>
      </c>
      <c r="BU15" s="111" t="str">
        <f ca="1">RESULTADOS!AY32</f>
        <v>Falla</v>
      </c>
      <c r="BV15" s="111" t="str">
        <f ca="1">RESULTADOS!AZ32</f>
        <v>Falla</v>
      </c>
      <c r="BW15" s="111" t="str">
        <f ca="1">RESULTADOS!BA32</f>
        <v>Falla</v>
      </c>
      <c r="BX15" s="111" t="str">
        <f ca="1">RESULTADOS!BB32</f>
        <v>N/A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Falla</v>
      </c>
      <c r="CH15" s="111" t="str">
        <f ca="1">RESULTADOS!BL32</f>
        <v>Pasa</v>
      </c>
      <c r="CI15" s="111" t="str">
        <f ca="1">RESULTADOS!BM32</f>
        <v>Pasa</v>
      </c>
      <c r="CJ15" s="111" t="str">
        <f ca="1">RESULTADOS!BN32</f>
        <v>Falla</v>
      </c>
      <c r="CK15" s="111" t="str">
        <f ca="1">RESULTADOS!BO32</f>
        <v>Falla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Falla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Sistema Operativo: Windows 11 Enterprise
Navegador: Google Chrome Versión 135.0.7049.42  (Build oficial) (64 bits)
Herramientas utilizadas: Tawdis, LightHouse, Wave, Color Contrast Analyzer, Headings map, Screen reader, Siteimprove, taba11y,  User CSS, Web Developer y  Axe DevTools</v>
      </c>
      <c r="F16" s="161"/>
      <c r="G16" s="161"/>
      <c r="H16" s="161"/>
      <c r="I16" s="161"/>
      <c r="J16" s="161"/>
      <c r="T16" s="113">
        <f>RESULTADOS!B33</f>
        <v>14</v>
      </c>
      <c r="U16" s="113" t="str">
        <f>RESULTADOS!C33</f>
        <v>ACTOS DEL CENTENARIO</v>
      </c>
      <c r="V16" s="113" t="str">
        <f t="shared" si="0"/>
        <v>Página web</v>
      </c>
      <c r="W16" s="113" t="str">
        <v>Pagina tipo</v>
      </c>
      <c r="X16" s="113" t="str">
        <f>RESULTADOS!D33</f>
        <v>https://www.comunidad.madrid/hospital/santacristina/nosotros/actos-centenario</v>
      </c>
      <c r="Y16" s="113" t="str">
        <v>Home &gt; Comunicación &gt; Actos del centenario</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Pasa</v>
      </c>
      <c r="AX16" s="111" t="str">
        <f ca="1">RESULTADOS!AB33</f>
        <v>Pasa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N/A</v>
      </c>
      <c r="BG16" s="111" t="str">
        <f ca="1">RESULTADOS!AK33</f>
        <v>N/A</v>
      </c>
      <c r="BH16" s="111" t="str">
        <f ca="1">RESULTADOS!AL33</f>
        <v>Pasa</v>
      </c>
      <c r="BI16" s="111" t="str">
        <f ca="1">RESULTADOS!AM33</f>
        <v>N/A</v>
      </c>
      <c r="BJ16" s="111" t="str">
        <f ca="1">RESULTADOS!AN33</f>
        <v>N/A</v>
      </c>
      <c r="BK16" s="111" t="str">
        <f ca="1">RESULTADOS!AO33</f>
        <v>Pasa</v>
      </c>
      <c r="BL16" s="111" t="str">
        <f ca="1">RESULTADOS!AP33</f>
        <v>Falla</v>
      </c>
      <c r="BM16" s="111" t="str">
        <f ca="1">RESULTADOS!AQ33</f>
        <v>Falla</v>
      </c>
      <c r="BN16" s="111" t="str">
        <f ca="1">RESULTADOS!AR33</f>
        <v>Falla</v>
      </c>
      <c r="BO16" s="111" t="str">
        <f ca="1">RESULTADOS!AS33</f>
        <v>N/A</v>
      </c>
      <c r="BP16" s="111" t="str">
        <f ca="1">RESULTADOS!AT33</f>
        <v>N/A</v>
      </c>
      <c r="BQ16" s="111" t="str">
        <f ca="1">RESULTADOS!AU33</f>
        <v>N/A</v>
      </c>
      <c r="BR16" s="111" t="str">
        <f ca="1">RESULTADOS!AV33</f>
        <v>Pasa</v>
      </c>
      <c r="BS16" s="111" t="str">
        <f ca="1">RESULTADOS!AW33</f>
        <v>Falla</v>
      </c>
      <c r="BT16" s="111" t="str">
        <f ca="1">RESULTADOS!AX33</f>
        <v>N/A</v>
      </c>
      <c r="BU16" s="111" t="str">
        <f ca="1">RESULTADOS!AY33</f>
        <v>Falla</v>
      </c>
      <c r="BV16" s="111" t="str">
        <f ca="1">RESULTADOS!AZ33</f>
        <v>Falla</v>
      </c>
      <c r="BW16" s="111" t="str">
        <f ca="1">RESULTADOS!BA33</f>
        <v>Falla</v>
      </c>
      <c r="BX16" s="111" t="str">
        <f ca="1">RESULTADOS!BB33</f>
        <v>N/A</v>
      </c>
      <c r="BY16" s="111" t="str">
        <f ca="1">RESULTADOS!BC33</f>
        <v>Falla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Falla</v>
      </c>
      <c r="CH16" s="111" t="str">
        <f ca="1">RESULTADOS!BL33</f>
        <v>Pasa</v>
      </c>
      <c r="CI16" s="111" t="str">
        <f ca="1">RESULTADOS!BM33</f>
        <v>Pasa</v>
      </c>
      <c r="CJ16" s="111" t="str">
        <f ca="1">RESULTADOS!BN33</f>
        <v>Falla</v>
      </c>
      <c r="CK16" s="111" t="str">
        <f ca="1">RESULTADOS!BO33</f>
        <v>Falla</v>
      </c>
      <c r="CL16" s="111" t="str">
        <f ca="1">RESULTADOS!BP33</f>
        <v>N/A</v>
      </c>
      <c r="CM16" s="111" t="str">
        <f ca="1">RESULTADOS!BQ33</f>
        <v>Pasa</v>
      </c>
      <c r="CN16" s="111" t="str">
        <f ca="1">RESULTADOS!BR33</f>
        <v>Falla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N/A</v>
      </c>
      <c r="CW16" s="111" t="str">
        <f ca="1">RESULTADOS!CA33</f>
        <v>Falla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f>RESULTADOS!B34</f>
        <v>15</v>
      </c>
      <c r="U17" s="113" t="str">
        <f>RESULTADOS!C34</f>
        <v>ACCESIBILIDAD HOSPITAL</v>
      </c>
      <c r="V17" s="113" t="str">
        <f t="shared" si="0"/>
        <v>Página web</v>
      </c>
      <c r="W17" s="113" t="str">
        <v>Pagina tipo</v>
      </c>
      <c r="X17" s="113" t="str">
        <f>RESULTADOS!D34</f>
        <v>https://www.comunidad.madrid/hospital/santacristina/nosotros/accesibilidad-hospital</v>
      </c>
      <c r="Y17" s="113" t="str">
        <v>Home &gt; Nosotros &gt; Accesibilidad Hospital</v>
      </c>
      <c r="Z17" s="188">
        <v>0</v>
      </c>
      <c r="AA17" s="111" t="str">
        <f ca="1">RESULTADOS!E34</f>
        <v>Falla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N/A</v>
      </c>
      <c r="BG17" s="111" t="str">
        <f ca="1">RESULTADOS!AK34</f>
        <v>N/A</v>
      </c>
      <c r="BH17" s="111" t="str">
        <f ca="1">RESULTADOS!AL34</f>
        <v>N/A</v>
      </c>
      <c r="BI17" s="111" t="str">
        <f ca="1">RESULTADOS!AM34</f>
        <v>N/A</v>
      </c>
      <c r="BJ17" s="111" t="str">
        <f ca="1">RESULTADOS!AN34</f>
        <v>N/A</v>
      </c>
      <c r="BK17" s="111" t="str">
        <f ca="1">RESULTADOS!AO34</f>
        <v>Pasa</v>
      </c>
      <c r="BL17" s="111" t="str">
        <f ca="1">RESULTADOS!AP34</f>
        <v>Falla</v>
      </c>
      <c r="BM17" s="111" t="str">
        <f ca="1">RESULTADOS!AQ34</f>
        <v>Falla</v>
      </c>
      <c r="BN17" s="111" t="str">
        <f ca="1">RESULTADOS!AR34</f>
        <v>Falla</v>
      </c>
      <c r="BO17" s="111" t="str">
        <f ca="1">RESULTADOS!AS34</f>
        <v>N/A</v>
      </c>
      <c r="BP17" s="111" t="str">
        <f ca="1">RESULTADOS!AT34</f>
        <v>N/A</v>
      </c>
      <c r="BQ17" s="111" t="str">
        <f ca="1">RESULTADOS!AU34</f>
        <v>N/A</v>
      </c>
      <c r="BR17" s="111" t="str">
        <f ca="1">RESULTADOS!AV34</f>
        <v>Pasa</v>
      </c>
      <c r="BS17" s="111" t="str">
        <f ca="1">RESULTADOS!AW34</f>
        <v>Falla</v>
      </c>
      <c r="BT17" s="111" t="str">
        <f ca="1">RESULTADOS!AX34</f>
        <v>N/A</v>
      </c>
      <c r="BU17" s="111" t="str">
        <f ca="1">RESULTADOS!AY34</f>
        <v>Falla</v>
      </c>
      <c r="BV17" s="111" t="str">
        <f ca="1">RESULTADOS!AZ34</f>
        <v>Falla</v>
      </c>
      <c r="BW17" s="111" t="str">
        <f ca="1">RESULTADOS!BA34</f>
        <v>Falla</v>
      </c>
      <c r="BX17" s="111" t="str">
        <f ca="1">RESULTADOS!BB34</f>
        <v>N/A</v>
      </c>
      <c r="BY17" s="111" t="str">
        <f ca="1">RESULTADOS!BC34</f>
        <v>Falla</v>
      </c>
      <c r="BZ17" s="111" t="str">
        <f ca="1">RESULTADOS!BD34</f>
        <v>Pasa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Falla</v>
      </c>
      <c r="CH17" s="111" t="str">
        <f ca="1">RESULTADOS!BL34</f>
        <v>Pasa</v>
      </c>
      <c r="CI17" s="111" t="str">
        <f ca="1">RESULTADOS!BM34</f>
        <v>Pasa</v>
      </c>
      <c r="CJ17" s="111" t="str">
        <f ca="1">RESULTADOS!BN34</f>
        <v>Falla</v>
      </c>
      <c r="CK17" s="111" t="str">
        <f ca="1">RESULTADOS!BO34</f>
        <v>Falla</v>
      </c>
      <c r="CL17" s="111" t="str">
        <f ca="1">RESULTADOS!BP34</f>
        <v>N/A</v>
      </c>
      <c r="CM17" s="111" t="str">
        <f ca="1">RESULTADOS!BQ34</f>
        <v>Pasa</v>
      </c>
      <c r="CN17" s="111" t="str">
        <f ca="1">RESULTADOS!BR34</f>
        <v>Falla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Pasa</v>
      </c>
      <c r="CV17" s="111" t="str">
        <f ca="1">RESULTADOS!BZ34</f>
        <v>N/A</v>
      </c>
      <c r="CW17" s="111" t="str">
        <f ca="1">RESULTADOS!CA34</f>
        <v>Falla</v>
      </c>
      <c r="CX17" s="111" t="str">
        <f ca="1">RESULTADOS!CB34</f>
        <v>N/A</v>
      </c>
      <c r="CY17" s="111" t="str">
        <f ca="1">RESULTADOS!CC34</f>
        <v>N/A</v>
      </c>
      <c r="CZ17" s="111" t="str">
        <f ca="1">RESULTADOS!CD34</f>
        <v>N/A</v>
      </c>
      <c r="DA17" s="111" t="str">
        <f ca="1">RESULTADOS!CE34</f>
        <v>Falla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305</v>
      </c>
      <c r="M18" s="171">
        <f ca="1">RESULTADOS!M8</f>
        <v>0.16576086956521738</v>
      </c>
      <c r="T18" s="113">
        <f>RESULTADOS!B35</f>
        <v>16</v>
      </c>
      <c r="U18" s="113" t="str">
        <f>RESULTADOS!C35</f>
        <v>CARTERA DE SERVICIOS</v>
      </c>
      <c r="V18" s="113" t="str">
        <f t="shared" si="0"/>
        <v>Página web</v>
      </c>
      <c r="W18" s="113" t="str">
        <v>Aleatoria</v>
      </c>
      <c r="X18" s="113" t="str">
        <f>RESULTADOS!D35</f>
        <v>https://www.comunidad.madrid/hospital/santacristina/nosotros/cartera-servicios</v>
      </c>
      <c r="Y18" s="113" t="str">
        <v>Home &gt; Lo más solicitado &gt; Cartera de servicios</v>
      </c>
      <c r="Z18" s="188">
        <v>0</v>
      </c>
      <c r="AA18" s="111" t="str">
        <f ca="1">RESULTADOS!E35</f>
        <v>Falla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N/A</v>
      </c>
      <c r="BG18" s="111" t="str">
        <f ca="1">RESULTADOS!AK35</f>
        <v>N/A</v>
      </c>
      <c r="BH18" s="111" t="str">
        <f ca="1">RESULTADOS!AL35</f>
        <v>N/A</v>
      </c>
      <c r="BI18" s="111" t="str">
        <f ca="1">RESULTADOS!AM35</f>
        <v>N/A</v>
      </c>
      <c r="BJ18" s="111" t="str">
        <f ca="1">RESULTADOS!AN35</f>
        <v>N/A</v>
      </c>
      <c r="BK18" s="111" t="str">
        <f ca="1">RESULTADOS!AO35</f>
        <v>Pasa</v>
      </c>
      <c r="BL18" s="111" t="str">
        <f ca="1">RESULTADOS!AP35</f>
        <v>Falla</v>
      </c>
      <c r="BM18" s="111" t="str">
        <f ca="1">RESULTADOS!AQ35</f>
        <v>Falla</v>
      </c>
      <c r="BN18" s="111" t="str">
        <f ca="1">RESULTADOS!AR35</f>
        <v>Falla</v>
      </c>
      <c r="BO18" s="111" t="str">
        <f ca="1">RESULTADOS!AS35</f>
        <v>N/A</v>
      </c>
      <c r="BP18" s="111" t="str">
        <f ca="1">RESULTADOS!AT35</f>
        <v>N/A</v>
      </c>
      <c r="BQ18" s="111" t="str">
        <f ca="1">RESULTADOS!AU35</f>
        <v>N/A</v>
      </c>
      <c r="BR18" s="111" t="str">
        <f ca="1">RESULTADOS!AV35</f>
        <v>Pasa</v>
      </c>
      <c r="BS18" s="111" t="str">
        <f ca="1">RESULTADOS!AW35</f>
        <v>Falla</v>
      </c>
      <c r="BT18" s="111" t="str">
        <f ca="1">RESULTADOS!AX35</f>
        <v>N/A</v>
      </c>
      <c r="BU18" s="111" t="str">
        <f ca="1">RESULTADOS!AY35</f>
        <v>Falla</v>
      </c>
      <c r="BV18" s="111" t="str">
        <f ca="1">RESULTADOS!AZ35</f>
        <v>Falla</v>
      </c>
      <c r="BW18" s="111" t="str">
        <f ca="1">RESULTADOS!BA35</f>
        <v>Falla</v>
      </c>
      <c r="BX18" s="111" t="str">
        <f ca="1">RESULTADOS!BB35</f>
        <v>N/A</v>
      </c>
      <c r="BY18" s="111" t="str">
        <f ca="1">RESULTADOS!BC35</f>
        <v>Falla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Falla</v>
      </c>
      <c r="CH18" s="111" t="str">
        <f ca="1">RESULTADOS!BL35</f>
        <v>Pasa</v>
      </c>
      <c r="CI18" s="111" t="str">
        <f ca="1">RESULTADOS!BM35</f>
        <v>Pasa</v>
      </c>
      <c r="CJ18" s="111" t="str">
        <f ca="1">RESULTADOS!BN35</f>
        <v>Falla</v>
      </c>
      <c r="CK18" s="111" t="str">
        <f ca="1">RESULTADOS!BO35</f>
        <v>Falla</v>
      </c>
      <c r="CL18" s="111" t="str">
        <f ca="1">RESULTADOS!BP35</f>
        <v>N/A</v>
      </c>
      <c r="CM18" s="111" t="str">
        <f ca="1">RESULTADOS!BQ35</f>
        <v>Pasa</v>
      </c>
      <c r="CN18" s="111" t="str">
        <f ca="1">RESULTADOS!BR35</f>
        <v>Falla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Pasa</v>
      </c>
      <c r="CU18" s="111" t="str">
        <f ca="1">RESULTADOS!BY35</f>
        <v>Pasa</v>
      </c>
      <c r="CV18" s="111" t="str">
        <f ca="1">RESULTADOS!BZ35</f>
        <v>N/A</v>
      </c>
      <c r="CW18" s="111" t="str">
        <f ca="1">RESULTADOS!CA35</f>
        <v>Falla</v>
      </c>
      <c r="CX18" s="111" t="str">
        <f ca="1">RESULTADOS!CB35</f>
        <v>N/A</v>
      </c>
      <c r="CY18" s="111" t="str">
        <f ca="1">RESULTADOS!CC35</f>
        <v>N/A</v>
      </c>
      <c r="CZ18" s="111" t="str">
        <f ca="1">RESULTADOS!CD35</f>
        <v>N/A</v>
      </c>
      <c r="DA18" s="111" t="str">
        <f ca="1">RESULTADOS!CE35</f>
        <v>Pasa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305</v>
      </c>
      <c r="M19" s="171">
        <f ca="1">RESULTADOS!M9</f>
        <v>0.16576086956521738</v>
      </c>
      <c r="T19" s="113">
        <f>RESULTADOS!B36</f>
        <v>17</v>
      </c>
      <c r="U19" s="113" t="str">
        <f>RESULTADOS!C36</f>
        <v>CONTACTO</v>
      </c>
      <c r="V19" s="113" t="str">
        <f t="shared" si="0"/>
        <v>Página web</v>
      </c>
      <c r="W19" s="113" t="str">
        <v>Contacto</v>
      </c>
      <c r="X19" s="113" t="str">
        <f>RESULTADOS!D36</f>
        <v>https://www.comunidad.madrid/hospital/santacristina/comunicacion/contacto</v>
      </c>
      <c r="Y19" s="113" t="str">
        <v>Home &gt; Contacto</v>
      </c>
      <c r="Z19" s="188">
        <v>0</v>
      </c>
      <c r="AA19" s="111" t="str">
        <f ca="1">RESULTADOS!E36</f>
        <v>Falla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N/A</v>
      </c>
      <c r="BG19" s="111" t="str">
        <f ca="1">RESULTADOS!AK36</f>
        <v>N/A</v>
      </c>
      <c r="BH19" s="111" t="str">
        <f ca="1">RESULTADOS!AL36</f>
        <v>N/A</v>
      </c>
      <c r="BI19" s="111" t="str">
        <f ca="1">RESULTADOS!AM36</f>
        <v>N/A</v>
      </c>
      <c r="BJ19" s="111" t="str">
        <f ca="1">RESULTADOS!AN36</f>
        <v>N/A</v>
      </c>
      <c r="BK19" s="111" t="str">
        <f ca="1">RESULTADOS!AO36</f>
        <v>Falla</v>
      </c>
      <c r="BL19" s="111" t="str">
        <f ca="1">RESULTADOS!AP36</f>
        <v>Falla</v>
      </c>
      <c r="BM19" s="111" t="str">
        <f ca="1">RESULTADOS!AQ36</f>
        <v>Falla</v>
      </c>
      <c r="BN19" s="111" t="str">
        <f ca="1">RESULTADOS!AR36</f>
        <v>Falla</v>
      </c>
      <c r="BO19" s="111" t="str">
        <f ca="1">RESULTADOS!AS36</f>
        <v>N/A</v>
      </c>
      <c r="BP19" s="111" t="str">
        <f ca="1">RESULTADOS!AT36</f>
        <v>Falla</v>
      </c>
      <c r="BQ19" s="111" t="str">
        <f ca="1">RESULTADOS!AU36</f>
        <v>N/A</v>
      </c>
      <c r="BR19" s="111" t="str">
        <f ca="1">RESULTADOS!AV36</f>
        <v>Pasa</v>
      </c>
      <c r="BS19" s="111" t="str">
        <f ca="1">RESULTADOS!AW36</f>
        <v>Falla</v>
      </c>
      <c r="BT19" s="111" t="str">
        <f ca="1">RESULTADOS!AX36</f>
        <v>N/A</v>
      </c>
      <c r="BU19" s="111" t="str">
        <f ca="1">RESULTADOS!AY36</f>
        <v>Falla</v>
      </c>
      <c r="BV19" s="111" t="str">
        <f ca="1">RESULTADOS!AZ36</f>
        <v>Falla</v>
      </c>
      <c r="BW19" s="111" t="str">
        <f ca="1">RESULTADOS!BA36</f>
        <v>Falla</v>
      </c>
      <c r="BX19" s="111" t="str">
        <f ca="1">RESULTADOS!BB36</f>
        <v>N/A</v>
      </c>
      <c r="BY19" s="111" t="str">
        <f ca="1">RESULTADOS!BC36</f>
        <v>Falla</v>
      </c>
      <c r="BZ19" s="111" t="str">
        <f ca="1">RESULTADOS!BD36</f>
        <v>Pasa</v>
      </c>
      <c r="CA19" s="111" t="str">
        <f ca="1">RESULTADOS!BE36</f>
        <v>N/A</v>
      </c>
      <c r="CB19" s="111" t="str">
        <f ca="1">RESULTADOS!BF36</f>
        <v>N/A</v>
      </c>
      <c r="CC19" s="111" t="str">
        <f ca="1">RESULTADOS!BG36</f>
        <v>N/A</v>
      </c>
      <c r="CD19" s="111" t="str">
        <f ca="1">RESULTADOS!BH36</f>
        <v>N/A</v>
      </c>
      <c r="CE19" s="111" t="str">
        <f ca="1">RESULTADOS!BI36</f>
        <v>Pasa</v>
      </c>
      <c r="CF19" s="111" t="str">
        <f ca="1">RESULTADOS!BJ36</f>
        <v>Pasa</v>
      </c>
      <c r="CG19" s="111" t="str">
        <f ca="1">RESULTADOS!BK36</f>
        <v>Falla</v>
      </c>
      <c r="CH19" s="111" t="str">
        <f ca="1">RESULTADOS!BL36</f>
        <v>Pasa</v>
      </c>
      <c r="CI19" s="111" t="str">
        <f ca="1">RESULTADOS!BM36</f>
        <v>Pasa</v>
      </c>
      <c r="CJ19" s="111" t="str">
        <f ca="1">RESULTADOS!BN36</f>
        <v>Falla</v>
      </c>
      <c r="CK19" s="111" t="str">
        <f ca="1">RESULTADOS!BO36</f>
        <v>Falla</v>
      </c>
      <c r="CL19" s="111" t="str">
        <f ca="1">RESULTADOS!BP36</f>
        <v>N/A</v>
      </c>
      <c r="CM19" s="111" t="str">
        <f ca="1">RESULTADOS!BQ36</f>
        <v>Pasa</v>
      </c>
      <c r="CN19" s="111" t="str">
        <f ca="1">RESULTADOS!BR36</f>
        <v>Falla</v>
      </c>
      <c r="CO19" s="111" t="str">
        <f ca="1">RESULTADOS!BS36</f>
        <v>N/A</v>
      </c>
      <c r="CP19" s="111" t="str">
        <f ca="1">RESULTADOS!BT36</f>
        <v>Pasa</v>
      </c>
      <c r="CQ19" s="111" t="str">
        <f ca="1">RESULTADOS!BU36</f>
        <v>N/A</v>
      </c>
      <c r="CR19" s="111" t="str">
        <f ca="1">RESULTADOS!BV36</f>
        <v>Pasa</v>
      </c>
      <c r="CS19" s="111" t="str">
        <f ca="1">RESULTADOS!BW36</f>
        <v>Pasa</v>
      </c>
      <c r="CT19" s="111" t="str">
        <f ca="1">RESULTADOS!BX36</f>
        <v>Pasa</v>
      </c>
      <c r="CU19" s="111" t="str">
        <f ca="1">RESULTADOS!BY36</f>
        <v>Pasa</v>
      </c>
      <c r="CV19" s="111" t="str">
        <f ca="1">RESULTADOS!BZ36</f>
        <v>Falla</v>
      </c>
      <c r="CW19" s="111" t="str">
        <f ca="1">RESULTADOS!CA36</f>
        <v>Falla</v>
      </c>
      <c r="CX19" s="111" t="str">
        <f ca="1">RESULTADOS!CB36</f>
        <v>Pasa</v>
      </c>
      <c r="CY19" s="111" t="str">
        <f ca="1">RESULTADOS!CC36</f>
        <v>N/A</v>
      </c>
      <c r="CZ19" s="111" t="str">
        <f ca="1">RESULTADOS!CD36</f>
        <v>N/A</v>
      </c>
      <c r="DA19" s="111" t="str">
        <f ca="1">RESULTADOS!CE36</f>
        <v>Pasa</v>
      </c>
      <c r="DB19" s="111" t="str">
        <f ca="1">RESULTADOS!CF36</f>
        <v>Pasa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1230</v>
      </c>
      <c r="M20" s="171">
        <f ca="1">RESULTADOS!M10</f>
        <v>0.66847826086956519</v>
      </c>
      <c r="T20" s="113">
        <f>RESULTADOS!B37</f>
        <v>18</v>
      </c>
      <c r="U20" s="113" t="str">
        <f>RESULTADOS!C37</f>
        <v>ACCESIBILIDAD</v>
      </c>
      <c r="V20" s="113" t="str">
        <f t="shared" si="0"/>
        <v>Página web</v>
      </c>
      <c r="W20" s="113" t="str">
        <v>Declaración accesibilidad</v>
      </c>
      <c r="X20" s="113" t="str">
        <f>RESULTADOS!D37</f>
        <v>https://www.comunidad.madrid/hospital/santacristina/declaracion-accesibilidad</v>
      </c>
      <c r="Y20" s="113" t="str">
        <v xml:space="preserve">Home &gt;  Accesibilidad </v>
      </c>
      <c r="Z20" s="188">
        <v>0</v>
      </c>
      <c r="AA20" s="111" t="str">
        <f ca="1">RESULTADOS!E37</f>
        <v>N/A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N/A</v>
      </c>
      <c r="BG20" s="111" t="str">
        <f ca="1">RESULTADOS!AK37</f>
        <v>N/A</v>
      </c>
      <c r="BH20" s="111" t="str">
        <f ca="1">RESULTADOS!AL37</f>
        <v>N/A</v>
      </c>
      <c r="BI20" s="111" t="str">
        <f ca="1">RESULTADOS!AM37</f>
        <v>N/A</v>
      </c>
      <c r="BJ20" s="111" t="str">
        <f ca="1">RESULTADOS!AN37</f>
        <v>N/A</v>
      </c>
      <c r="BK20" s="111" t="str">
        <f ca="1">RESULTADOS!AO37</f>
        <v>Pasa</v>
      </c>
      <c r="BL20" s="111" t="str">
        <f ca="1">RESULTADOS!AP37</f>
        <v>Falla</v>
      </c>
      <c r="BM20" s="111" t="str">
        <f ca="1">RESULTADOS!AQ37</f>
        <v>Falla</v>
      </c>
      <c r="BN20" s="111" t="str">
        <f ca="1">RESULTADOS!AR37</f>
        <v>Falla</v>
      </c>
      <c r="BO20" s="111" t="str">
        <f ca="1">RESULTADOS!AS37</f>
        <v>N/A</v>
      </c>
      <c r="BP20" s="111" t="str">
        <f ca="1">RESULTADOS!AT37</f>
        <v>N/A</v>
      </c>
      <c r="BQ20" s="111" t="str">
        <f ca="1">RESULTADOS!AU37</f>
        <v>N/A</v>
      </c>
      <c r="BR20" s="111" t="str">
        <f ca="1">RESULTADOS!AV37</f>
        <v>Pasa</v>
      </c>
      <c r="BS20" s="111" t="str">
        <f ca="1">RESULTADOS!AW37</f>
        <v>Falla</v>
      </c>
      <c r="BT20" s="111" t="str">
        <f ca="1">RESULTADOS!AX37</f>
        <v>N/A</v>
      </c>
      <c r="BU20" s="111" t="str">
        <f ca="1">RESULTADOS!AY37</f>
        <v>Falla</v>
      </c>
      <c r="BV20" s="111" t="str">
        <f ca="1">RESULTADOS!AZ37</f>
        <v>Falla</v>
      </c>
      <c r="BW20" s="111" t="str">
        <f ca="1">RESULTADOS!BA37</f>
        <v>Pasa</v>
      </c>
      <c r="BX20" s="111" t="str">
        <f ca="1">RESULTADOS!BB37</f>
        <v>N/A</v>
      </c>
      <c r="BY20" s="111" t="str">
        <f ca="1">RESULTADOS!BC37</f>
        <v>Falla</v>
      </c>
      <c r="BZ20" s="111" t="str">
        <f ca="1">RESULTADOS!BD37</f>
        <v>Pasa</v>
      </c>
      <c r="CA20" s="111" t="str">
        <f ca="1">RESULTADOS!BE37</f>
        <v>N/A</v>
      </c>
      <c r="CB20" s="111" t="str">
        <f ca="1">RESULTADOS!BF37</f>
        <v>N/A</v>
      </c>
      <c r="CC20" s="111" t="str">
        <f ca="1">RESULTADOS!BG37</f>
        <v>N/A</v>
      </c>
      <c r="CD20" s="111" t="str">
        <f ca="1">RESULTADOS!BH37</f>
        <v>N/A</v>
      </c>
      <c r="CE20" s="111" t="str">
        <f ca="1">RESULTADOS!BI37</f>
        <v>Pasa</v>
      </c>
      <c r="CF20" s="111" t="str">
        <f ca="1">RESULTADOS!BJ37</f>
        <v>Pasa</v>
      </c>
      <c r="CG20" s="111" t="str">
        <f ca="1">RESULTADOS!BK37</f>
        <v>Falla</v>
      </c>
      <c r="CH20" s="111" t="str">
        <f ca="1">RESULTADOS!BL37</f>
        <v>Pasa</v>
      </c>
      <c r="CI20" s="111" t="str">
        <f ca="1">RESULTADOS!BM37</f>
        <v>Pasa</v>
      </c>
      <c r="CJ20" s="111" t="str">
        <f ca="1">RESULTADOS!BN37</f>
        <v>Falla</v>
      </c>
      <c r="CK20" s="111" t="str">
        <f ca="1">RESULTADOS!BO37</f>
        <v>Falla</v>
      </c>
      <c r="CL20" s="111" t="str">
        <f ca="1">RESULTADOS!BP37</f>
        <v>N/A</v>
      </c>
      <c r="CM20" s="111" t="str">
        <f ca="1">RESULTADOS!BQ37</f>
        <v>Pasa</v>
      </c>
      <c r="CN20" s="111" t="str">
        <f ca="1">RESULTADOS!BR37</f>
        <v>Falla</v>
      </c>
      <c r="CO20" s="111" t="str">
        <f ca="1">RESULTADOS!BS37</f>
        <v>N/A</v>
      </c>
      <c r="CP20" s="111" t="str">
        <f ca="1">RESULTADOS!BT37</f>
        <v>Pasa</v>
      </c>
      <c r="CQ20" s="111" t="str">
        <f ca="1">RESULTADOS!BU37</f>
        <v>N/A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Falla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Pasa</v>
      </c>
      <c r="DK20" s="111" t="str">
        <f ca="1">RESULTADOS!CO37</f>
        <v>Falla</v>
      </c>
      <c r="DL20" s="111" t="str">
        <f ca="1">RESULTADOS!CP37</f>
        <v>Pasa</v>
      </c>
      <c r="DM20" s="111" t="str">
        <f ca="1">RESULTADOS!CQ37</f>
        <v>Pasa</v>
      </c>
      <c r="DN20" s="111" t="str">
        <f ca="1">RESULTADOS!CR37</f>
        <v>Falla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1840</v>
      </c>
      <c r="M21" s="171">
        <f ca="1">RESULTADOS!M11</f>
        <v>1</v>
      </c>
      <c r="T21" s="113">
        <f>RESULTADOS!B38</f>
        <v>19</v>
      </c>
      <c r="U21" s="113" t="str">
        <f>RESULTADOS!C38</f>
        <v>LEGAL</v>
      </c>
      <c r="V21" s="113" t="str">
        <f t="shared" si="0"/>
        <v>Página web</v>
      </c>
      <c r="W21" s="113" t="str">
        <v>Legal</v>
      </c>
      <c r="X21" s="113" t="str">
        <f>RESULTADOS!D38</f>
        <v>https://www.comunidad.madrid/hospital/santacristina/ciudadanos/aviso-legal-privacidad</v>
      </c>
      <c r="Y21" s="113" t="str">
        <v xml:space="preserve">Home &gt; Aviso Legal - Privacidad </v>
      </c>
      <c r="Z21" s="188">
        <v>0</v>
      </c>
      <c r="AA21" s="111" t="str">
        <f ca="1">RESULTADOS!E38</f>
        <v>Falla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N/A</v>
      </c>
      <c r="BG21" s="111" t="str">
        <f ca="1">RESULTADOS!AK38</f>
        <v>N/A</v>
      </c>
      <c r="BH21" s="111" t="str">
        <f ca="1">RESULTADOS!AL38</f>
        <v>N/A</v>
      </c>
      <c r="BI21" s="111" t="str">
        <f ca="1">RESULTADOS!AM38</f>
        <v>N/A</v>
      </c>
      <c r="BJ21" s="111" t="str">
        <f ca="1">RESULTADOS!AN38</f>
        <v>N/A</v>
      </c>
      <c r="BK21" s="111" t="str">
        <f ca="1">RESULTADOS!AO38</f>
        <v>Pasa</v>
      </c>
      <c r="BL21" s="111" t="str">
        <f ca="1">RESULTADOS!AP38</f>
        <v>Falla</v>
      </c>
      <c r="BM21" s="111" t="str">
        <f ca="1">RESULTADOS!AQ38</f>
        <v>Falla</v>
      </c>
      <c r="BN21" s="111" t="str">
        <f ca="1">RESULTADOS!AR38</f>
        <v>Falla</v>
      </c>
      <c r="BO21" s="111" t="str">
        <f ca="1">RESULTADOS!AS38</f>
        <v>N/A</v>
      </c>
      <c r="BP21" s="111" t="str">
        <f ca="1">RESULTADOS!AT38</f>
        <v>N/A</v>
      </c>
      <c r="BQ21" s="111" t="str">
        <f ca="1">RESULTADOS!AU38</f>
        <v>N/A</v>
      </c>
      <c r="BR21" s="111" t="str">
        <f ca="1">RESULTADOS!AV38</f>
        <v>Pasa</v>
      </c>
      <c r="BS21" s="111" t="str">
        <f ca="1">RESULTADOS!AW38</f>
        <v>Falla</v>
      </c>
      <c r="BT21" s="111" t="str">
        <f ca="1">RESULTADOS!AX38</f>
        <v>N/A</v>
      </c>
      <c r="BU21" s="111" t="str">
        <f ca="1">RESULTADOS!AY38</f>
        <v>Falla</v>
      </c>
      <c r="BV21" s="111" t="str">
        <f ca="1">RESULTADOS!AZ38</f>
        <v>Falla</v>
      </c>
      <c r="BW21" s="111" t="str">
        <f ca="1">RESULTADOS!BA38</f>
        <v>Falla</v>
      </c>
      <c r="BX21" s="111" t="str">
        <f ca="1">RESULTADOS!BB38</f>
        <v>N/A</v>
      </c>
      <c r="BY21" s="111" t="str">
        <f ca="1">RESULTADOS!BC38</f>
        <v>Falla</v>
      </c>
      <c r="BZ21" s="111" t="str">
        <f ca="1">RESULTADOS!BD38</f>
        <v>Pasa</v>
      </c>
      <c r="CA21" s="111" t="str">
        <f ca="1">RESULTADOS!BE38</f>
        <v>N/A</v>
      </c>
      <c r="CB21" s="111" t="str">
        <f ca="1">RESULTADOS!BF38</f>
        <v>N/A</v>
      </c>
      <c r="CC21" s="111" t="str">
        <f ca="1">RESULTADOS!BG38</f>
        <v>N/A</v>
      </c>
      <c r="CD21" s="111" t="str">
        <f ca="1">RESULTADOS!BH38</f>
        <v>N/A</v>
      </c>
      <c r="CE21" s="111" t="str">
        <f ca="1">RESULTADOS!BI38</f>
        <v>Pasa</v>
      </c>
      <c r="CF21" s="111" t="str">
        <f ca="1">RESULTADOS!BJ38</f>
        <v>Pasa</v>
      </c>
      <c r="CG21" s="111" t="str">
        <f ca="1">RESULTADOS!BK38</f>
        <v>Falla</v>
      </c>
      <c r="CH21" s="111" t="str">
        <f ca="1">RESULTADOS!BL38</f>
        <v>Pasa</v>
      </c>
      <c r="CI21" s="111" t="str">
        <f ca="1">RESULTADOS!BM38</f>
        <v>Pasa</v>
      </c>
      <c r="CJ21" s="111" t="str">
        <f ca="1">RESULTADOS!BN38</f>
        <v>Falla</v>
      </c>
      <c r="CK21" s="111" t="str">
        <f ca="1">RESULTADOS!BO38</f>
        <v>Falla</v>
      </c>
      <c r="CL21" s="111" t="str">
        <f ca="1">RESULTADOS!BP38</f>
        <v>N/A</v>
      </c>
      <c r="CM21" s="111" t="str">
        <f ca="1">RESULTADOS!BQ38</f>
        <v>Pasa</v>
      </c>
      <c r="CN21" s="111" t="str">
        <f ca="1">RESULTADOS!BR38</f>
        <v>Falla</v>
      </c>
      <c r="CO21" s="111" t="str">
        <f ca="1">RESULTADOS!BS38</f>
        <v>N/A</v>
      </c>
      <c r="CP21" s="111" t="str">
        <f ca="1">RESULTADOS!BT38</f>
        <v>Pasa</v>
      </c>
      <c r="CQ21" s="111" t="str">
        <f ca="1">RESULTADOS!BU38</f>
        <v>N/A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Falla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f>RESULTADOS!B39</f>
        <v>20</v>
      </c>
      <c r="U22" s="113" t="str">
        <f>RESULTADOS!C39</f>
        <v>MAPA WEB</v>
      </c>
      <c r="V22" s="113" t="str">
        <f t="shared" si="0"/>
        <v>Página web</v>
      </c>
      <c r="W22" s="113" t="str">
        <v>Mapa web</v>
      </c>
      <c r="X22" s="113" t="str">
        <f>RESULTADOS!D39</f>
        <v>https://www.comunidad.madrid/hospital/santacristina/sitemap</v>
      </c>
      <c r="Y22" s="113" t="str">
        <v>Home &gt;  Mapa Web</v>
      </c>
      <c r="Z22" s="188">
        <v>0</v>
      </c>
      <c r="AA22" s="111" t="str">
        <f ca="1">RESULTADOS!E39</f>
        <v>N/A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N/A</v>
      </c>
      <c r="BG22" s="111" t="str">
        <f ca="1">RESULTADOS!AK39</f>
        <v>N/A</v>
      </c>
      <c r="BH22" s="111" t="str">
        <f ca="1">RESULTADOS!AL39</f>
        <v>N/A</v>
      </c>
      <c r="BI22" s="111" t="str">
        <f ca="1">RESULTADOS!AM39</f>
        <v>N/A</v>
      </c>
      <c r="BJ22" s="111" t="str">
        <f ca="1">RESULTADOS!AN39</f>
        <v>N/A</v>
      </c>
      <c r="BK22" s="111" t="str">
        <f ca="1">RESULTADOS!AO39</f>
        <v>Pasa</v>
      </c>
      <c r="BL22" s="111" t="str">
        <f ca="1">RESULTADOS!AP39</f>
        <v>Falla</v>
      </c>
      <c r="BM22" s="111" t="str">
        <f ca="1">RESULTADOS!AQ39</f>
        <v>Falla</v>
      </c>
      <c r="BN22" s="111" t="str">
        <f ca="1">RESULTADOS!AR39</f>
        <v>Falla</v>
      </c>
      <c r="BO22" s="111" t="str">
        <f ca="1">RESULTADOS!AS39</f>
        <v>N/A</v>
      </c>
      <c r="BP22" s="111" t="str">
        <f ca="1">RESULTADOS!AT39</f>
        <v>N/A</v>
      </c>
      <c r="BQ22" s="111" t="str">
        <f ca="1">RESULTADOS!AU39</f>
        <v>N/A</v>
      </c>
      <c r="BR22" s="111" t="str">
        <f ca="1">RESULTADOS!AV39</f>
        <v>Pasa</v>
      </c>
      <c r="BS22" s="111" t="str">
        <f ca="1">RESULTADOS!AW39</f>
        <v>Falla</v>
      </c>
      <c r="BT22" s="111" t="str">
        <f ca="1">RESULTADOS!AX39</f>
        <v>N/A</v>
      </c>
      <c r="BU22" s="111" t="str">
        <f ca="1">RESULTADOS!AY39</f>
        <v>Falla</v>
      </c>
      <c r="BV22" s="111" t="str">
        <f ca="1">RESULTADOS!AZ39</f>
        <v>Falla</v>
      </c>
      <c r="BW22" s="111" t="str">
        <f ca="1">RESULTADOS!BA39</f>
        <v>Pasa</v>
      </c>
      <c r="BX22" s="111" t="str">
        <f ca="1">RESULTADOS!BB39</f>
        <v>N/A</v>
      </c>
      <c r="BY22" s="111" t="str">
        <f ca="1">RESULTADOS!BC39</f>
        <v>Falla</v>
      </c>
      <c r="BZ22" s="111" t="str">
        <f ca="1">RESULTADOS!BD39</f>
        <v>Pasa</v>
      </c>
      <c r="CA22" s="111" t="str">
        <f ca="1">RESULTADOS!BE39</f>
        <v>N/A</v>
      </c>
      <c r="CB22" s="111" t="str">
        <f ca="1">RESULTADOS!BF39</f>
        <v>N/A</v>
      </c>
      <c r="CC22" s="111" t="str">
        <f ca="1">RESULTADOS!BG39</f>
        <v>N/A</v>
      </c>
      <c r="CD22" s="111" t="str">
        <f ca="1">RESULTADOS!BH39</f>
        <v>N/A</v>
      </c>
      <c r="CE22" s="111" t="str">
        <f ca="1">RESULTADOS!BI39</f>
        <v>Pasa</v>
      </c>
      <c r="CF22" s="111" t="str">
        <f ca="1">RESULTADOS!BJ39</f>
        <v>Pasa</v>
      </c>
      <c r="CG22" s="111" t="str">
        <f ca="1">RESULTADOS!BK39</f>
        <v>Falla</v>
      </c>
      <c r="CH22" s="111" t="str">
        <f ca="1">RESULTADOS!BL39</f>
        <v>Pasa</v>
      </c>
      <c r="CI22" s="111" t="str">
        <f ca="1">RESULTADOS!BM39</f>
        <v>Pasa</v>
      </c>
      <c r="CJ22" s="111" t="str">
        <f ca="1">RESULTADOS!BN39</f>
        <v>Falla</v>
      </c>
      <c r="CK22" s="111" t="str">
        <f ca="1">RESULTADOS!BO39</f>
        <v>Falla</v>
      </c>
      <c r="CL22" s="111" t="str">
        <f ca="1">RESULTADOS!BP39</f>
        <v>N/A</v>
      </c>
      <c r="CM22" s="111" t="str">
        <f ca="1">RESULTADOS!BQ39</f>
        <v>Pasa</v>
      </c>
      <c r="CN22" s="111" t="str">
        <f ca="1">RESULTADOS!BR39</f>
        <v>Falla</v>
      </c>
      <c r="CO22" s="111" t="str">
        <f ca="1">RESULTADOS!BS39</f>
        <v>N/A</v>
      </c>
      <c r="CP22" s="111" t="str">
        <f ca="1">RESULTADOS!BT39</f>
        <v>Pasa</v>
      </c>
      <c r="CQ22" s="111" t="str">
        <f ca="1">RESULTADOS!BU39</f>
        <v>N/A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Falla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N/A</v>
      </c>
      <c r="DK22" s="111" t="str">
        <f ca="1">RESULTADOS!CO39</f>
        <v>N/A</v>
      </c>
      <c r="DL22" s="111" t="str">
        <f ca="1">RESULTADOS!CP39</f>
        <v>N/A</v>
      </c>
      <c r="DM22" s="111" t="str">
        <f ca="1">RESULTADOS!CQ39</f>
        <v>N/A</v>
      </c>
      <c r="DN22" s="111" t="str">
        <f ca="1">RESULTADOS!CR39</f>
        <v>N/A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Sí</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5.24</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A17" zoomScale="85" zoomScaleNormal="85" workbookViewId="0">
      <selection activeCell="C27" sqref="C27"/>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547</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481</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482</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483</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45747</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545</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53</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K13" sqref="K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36</v>
      </c>
      <c r="K12" s="158" t="s">
        <v>65</v>
      </c>
      <c r="L12" s="158" t="s">
        <v>66</v>
      </c>
    </row>
    <row r="13" spans="1:60" ht="17.100000000000001" customHeight="1">
      <c r="B13" s="156" t="s">
        <v>67</v>
      </c>
      <c r="C13" s="157" t="s">
        <v>53</v>
      </c>
      <c r="E13" s="156" t="s">
        <v>68</v>
      </c>
      <c r="F13" s="157" t="s">
        <v>36</v>
      </c>
      <c r="K13" s="159" t="s">
        <v>485</v>
      </c>
      <c r="L13" s="159" t="s">
        <v>484</v>
      </c>
    </row>
    <row r="14" spans="1:60" ht="17.100000000000001" customHeight="1">
      <c r="K14" s="159"/>
      <c r="L14" s="159"/>
    </row>
    <row r="15" spans="1:60" ht="17.100000000000001" customHeight="1">
      <c r="K15" s="159"/>
      <c r="L15" s="159"/>
    </row>
    <row r="16" spans="1:60" ht="17.100000000000001"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27" sqref="F27"/>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486</v>
      </c>
      <c r="D8" s="53" t="s">
        <v>506</v>
      </c>
      <c r="E8" s="53" t="s">
        <v>425</v>
      </c>
      <c r="F8" s="123" t="s">
        <v>481</v>
      </c>
      <c r="G8" s="53" t="s">
        <v>525</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487</v>
      </c>
      <c r="D9" s="53" t="s">
        <v>506</v>
      </c>
      <c r="E9" s="53" t="s">
        <v>444</v>
      </c>
      <c r="F9" s="123" t="s">
        <v>507</v>
      </c>
      <c r="G9" s="53" t="s">
        <v>526</v>
      </c>
      <c r="H9" s="101"/>
      <c r="I9" s="18"/>
      <c r="J9" s="18"/>
      <c r="K9" s="18"/>
      <c r="L9" s="18"/>
      <c r="M9" s="18"/>
      <c r="N9" s="18"/>
      <c r="O9" s="18"/>
      <c r="P9" s="18"/>
      <c r="Q9" s="18"/>
      <c r="R9" s="18"/>
      <c r="S9" s="18"/>
      <c r="T9" s="18"/>
      <c r="U9" s="18"/>
      <c r="V9" s="18"/>
      <c r="W9" s="18"/>
      <c r="X9" s="18"/>
      <c r="Y9" s="18"/>
    </row>
    <row r="10" spans="1:64" ht="18.149999999999999" customHeight="1">
      <c r="B10" s="51">
        <v>3</v>
      </c>
      <c r="C10" s="52" t="s">
        <v>488</v>
      </c>
      <c r="D10" s="53" t="s">
        <v>506</v>
      </c>
      <c r="E10" s="53" t="s">
        <v>444</v>
      </c>
      <c r="F10" s="123" t="s">
        <v>508</v>
      </c>
      <c r="G10" s="53" t="s">
        <v>527</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489</v>
      </c>
      <c r="D11" s="53" t="s">
        <v>506</v>
      </c>
      <c r="E11" s="53" t="s">
        <v>444</v>
      </c>
      <c r="F11" s="123" t="s">
        <v>509</v>
      </c>
      <c r="G11" s="53" t="s">
        <v>528</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490</v>
      </c>
      <c r="D12" s="53" t="s">
        <v>506</v>
      </c>
      <c r="E12" s="53" t="s">
        <v>444</v>
      </c>
      <c r="F12" s="123" t="s">
        <v>510</v>
      </c>
      <c r="G12" s="53" t="s">
        <v>529</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491</v>
      </c>
      <c r="D13" s="53" t="s">
        <v>506</v>
      </c>
      <c r="E13" s="53" t="s">
        <v>441</v>
      </c>
      <c r="F13" s="123" t="s">
        <v>511</v>
      </c>
      <c r="G13" s="53" t="s">
        <v>530</v>
      </c>
      <c r="H13" s="101"/>
      <c r="I13" s="18"/>
      <c r="J13" s="18"/>
      <c r="K13" s="18"/>
      <c r="L13" s="18"/>
      <c r="M13" s="18"/>
      <c r="N13" s="18"/>
      <c r="O13" s="18"/>
      <c r="P13" s="18"/>
      <c r="Q13" s="18"/>
      <c r="R13" s="18"/>
      <c r="S13" s="18"/>
      <c r="T13" s="18"/>
      <c r="V13" s="18"/>
      <c r="W13" s="18"/>
      <c r="X13" s="18"/>
      <c r="Y13" s="18"/>
    </row>
    <row r="14" spans="1:64" ht="18.149999999999999" customHeight="1">
      <c r="B14" s="51">
        <v>7</v>
      </c>
      <c r="C14" s="52" t="s">
        <v>492</v>
      </c>
      <c r="D14" s="53" t="s">
        <v>506</v>
      </c>
      <c r="E14" s="53" t="s">
        <v>444</v>
      </c>
      <c r="F14" s="123" t="s">
        <v>512</v>
      </c>
      <c r="G14" s="53" t="s">
        <v>531</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493</v>
      </c>
      <c r="D15" s="53" t="s">
        <v>506</v>
      </c>
      <c r="E15" s="53" t="s">
        <v>444</v>
      </c>
      <c r="F15" s="123" t="s">
        <v>513</v>
      </c>
      <c r="G15" s="53" t="s">
        <v>532</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494</v>
      </c>
      <c r="D16" s="53" t="s">
        <v>506</v>
      </c>
      <c r="E16" s="53" t="s">
        <v>444</v>
      </c>
      <c r="F16" s="123" t="s">
        <v>514</v>
      </c>
      <c r="G16" s="53" t="s">
        <v>533</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495</v>
      </c>
      <c r="D17" s="53" t="s">
        <v>506</v>
      </c>
      <c r="E17" s="53" t="s">
        <v>429</v>
      </c>
      <c r="F17" s="123" t="s">
        <v>515</v>
      </c>
      <c r="G17" s="53" t="s">
        <v>534</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496</v>
      </c>
      <c r="D18" s="53" t="s">
        <v>506</v>
      </c>
      <c r="E18" s="53" t="s">
        <v>444</v>
      </c>
      <c r="F18" s="123" t="s">
        <v>516</v>
      </c>
      <c r="G18" s="53" t="s">
        <v>535</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497</v>
      </c>
      <c r="D19" s="53" t="s">
        <v>506</v>
      </c>
      <c r="E19" s="53" t="s">
        <v>444</v>
      </c>
      <c r="F19" s="123" t="s">
        <v>517</v>
      </c>
      <c r="G19" s="53" t="s">
        <v>536</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498</v>
      </c>
      <c r="D20" s="53" t="s">
        <v>506</v>
      </c>
      <c r="E20" s="53" t="s">
        <v>444</v>
      </c>
      <c r="F20" s="123" t="s">
        <v>518</v>
      </c>
      <c r="G20" s="53" t="s">
        <v>537</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499</v>
      </c>
      <c r="D21" s="53" t="s">
        <v>506</v>
      </c>
      <c r="E21" s="53" t="s">
        <v>444</v>
      </c>
      <c r="F21" s="123" t="s">
        <v>519</v>
      </c>
      <c r="G21" s="53" t="s">
        <v>538</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500</v>
      </c>
      <c r="D22" s="53" t="s">
        <v>506</v>
      </c>
      <c r="E22" s="53" t="s">
        <v>444</v>
      </c>
      <c r="F22" s="123" t="s">
        <v>520</v>
      </c>
      <c r="G22" s="53" t="s">
        <v>539</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501</v>
      </c>
      <c r="D23" s="53" t="s">
        <v>506</v>
      </c>
      <c r="E23" s="53" t="s">
        <v>429</v>
      </c>
      <c r="F23" s="123" t="s">
        <v>521</v>
      </c>
      <c r="G23" s="53" t="s">
        <v>540</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502</v>
      </c>
      <c r="D24" s="53" t="s">
        <v>506</v>
      </c>
      <c r="E24" s="53" t="s">
        <v>437</v>
      </c>
      <c r="F24" s="123" t="s">
        <v>522</v>
      </c>
      <c r="G24" s="53" t="s">
        <v>541</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503</v>
      </c>
      <c r="D25" s="53" t="s">
        <v>506</v>
      </c>
      <c r="E25" s="53" t="s">
        <v>442</v>
      </c>
      <c r="F25" s="123" t="s">
        <v>523</v>
      </c>
      <c r="G25" s="53" t="s">
        <v>542</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504</v>
      </c>
      <c r="D26" s="53" t="s">
        <v>506</v>
      </c>
      <c r="E26" s="53" t="s">
        <v>439</v>
      </c>
      <c r="F26" s="123" t="s">
        <v>524</v>
      </c>
      <c r="G26" s="53" t="s">
        <v>543</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505</v>
      </c>
      <c r="D27" s="53" t="s">
        <v>506</v>
      </c>
      <c r="E27" s="53" t="s">
        <v>434</v>
      </c>
      <c r="F27" s="123" t="s">
        <v>546</v>
      </c>
      <c r="G27" s="53" t="s">
        <v>544</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18</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81</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8" zoomScale="70" zoomScaleNormal="70" workbookViewId="0">
      <selection activeCell="D37" sqref="D37"/>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10</v>
      </c>
      <c r="H13" s="42">
        <f ca="1">IF(($G$15+$K$15)=0,0,G13/($G$15+$K$15))</f>
        <v>0.16666666666666666</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50</v>
      </c>
      <c r="H14" s="42">
        <f ca="1">IF(($G$15+$K$15)=0,0,G14/($G$15+$K$15))</f>
        <v>0.83333333333333337</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PRINCIPAL</v>
      </c>
      <c r="C19" s="174" t="str" cm="1">
        <f t="array" ref="C19">IFERROR(INDEX('03.Muestra'!$F$8:$F$42,SMALL(IF("Página Web"='03.Muestra'!$D$8:$D$42,ROW('03.Muestra'!$F$8:$F$42)-MIN(ROW('03.Muestra'!$D$8:$D$42))+1,""),ROW()-18)),"")</f>
        <v>https://www.comunidad.madrid/hospital/santacristina/</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https://www.comunidad.madrid/hospital/santacristina/ciudadanos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10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https://www.comunidad.madrid/hospital/santacristina/profesionales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COMUNICACIÓN</v>
      </c>
      <c r="C22" s="174" t="str" cm="1">
        <f t="array" ref="C22">IFERROR(INDEX('03.Muestra'!$F$8:$F$42,SMALL(IF("Página Web"='03.Muestra'!$D$8:$D$42,ROW('03.Muestra'!$F$8:$F$42)-MIN(ROW('03.Muestra'!$D$8:$D$42))+1,""),ROW()-18)),"")</f>
        <v>https://www.comunidad.madrid/hospital/santacristina/comunicacion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https://www.comunidad.madrid/hospital/santacristina/nosotros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BUSCADOR</v>
      </c>
      <c r="C24" s="174" t="str" cm="1">
        <f t="array" ref="C24">IFERROR(INDEX('03.Muestra'!$F$8:$F$42,SMALL(IF("Página Web"='03.Muestra'!$D$8:$D$42,ROW('03.Muestra'!$F$8:$F$42)-MIN(ROW('03.Muestra'!$D$8:$D$42))+1,""),ROW()-18)),"")</f>
        <v>https://www.comunidad.madrid/hospital/santacristina/buscar?search_api_fulltext=&amp;nombre=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ATENCIÓN AL PACIENTE</v>
      </c>
      <c r="C25" s="174" t="str" cm="1">
        <f t="array" ref="C25">IFERROR(INDEX('03.Muestra'!$F$8:$F$42,SMALL(IF("Página Web"='03.Muestra'!$D$8:$D$42,ROW('03.Muestra'!$F$8:$F$42)-MIN(ROW('03.Muestra'!$D$8:$D$42))+1,""),ROW()-18)),"")</f>
        <v>https://www.comunidad.madrid/hospital/santacristina/ciudadanos/atencion-paciente</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ATENCIÓN ESPIRITUAL</v>
      </c>
      <c r="C26" s="174" t="str" cm="1">
        <f t="array" ref="C26">IFERROR(INDEX('03.Muestra'!$F$8:$F$42,SMALL(IF("Página Web"='03.Muestra'!$D$8:$D$42,ROW('03.Muestra'!$F$8:$F$42)-MIN(ROW('03.Muestra'!$D$8:$D$42))+1,""),ROW()-18)),"")</f>
        <v>https://www.comunidad.madrid/hospital/santacristina/ciudadanos/atencion-espiritual-religiosa</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LOCALIZACIÓN Y ACCESO</v>
      </c>
      <c r="C27" s="174" t="str" cm="1">
        <f t="array" ref="C27">IFERROR(INDEX('03.Muestra'!$F$8:$F$42,SMALL(IF("Página Web"='03.Muestra'!$D$8:$D$42,ROW('03.Muestra'!$F$8:$F$42)-MIN(ROW('03.Muestra'!$D$8:$D$42))+1,""),ROW()-18)),"")</f>
        <v>https://www.comunidad.madrid/hospital/santacristina/ciudadanos/localizacion-acceso</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GUÍAS DE USUARIO</v>
      </c>
      <c r="C28" s="174" t="str" cm="1">
        <f t="array" ref="C28">IFERROR(INDEX('03.Muestra'!$F$8:$F$42,SMALL(IF("Página Web"='03.Muestra'!$D$8:$D$42,ROW('03.Muestra'!$F$8:$F$42)-MIN(ROW('03.Muestra'!$D$8:$D$42))+1,""),ROW()-18)),"")</f>
        <v>https://www.comunidad.madrid/hospital/santacristina/ciudadanos/guias-usuario</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SERVICIOS QUIRÚRGICOS</v>
      </c>
      <c r="C29" s="174" t="str" cm="1">
        <f t="array" ref="C29">IFERROR(INDEX('03.Muestra'!$F$8:$F$42,SMALL(IF("Página Web"='03.Muestra'!$D$8:$D$42,ROW('03.Muestra'!$F$8:$F$42)-MIN(ROW('03.Muestra'!$D$8:$D$42))+1,""),ROW()-18)),"")</f>
        <v>https://www.comunidad.madrid/hospital/santacristina/profesionales/servicios-quirurgicos-0</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INVESTIGACIÓN</v>
      </c>
      <c r="C30" s="174" t="str" cm="1">
        <f t="array" ref="C30">IFERROR(INDEX('03.Muestra'!$F$8:$F$42,SMALL(IF("Página Web"='03.Muestra'!$D$8:$D$42,ROW('03.Muestra'!$F$8:$F$42)-MIN(ROW('03.Muestra'!$D$8:$D$42))+1,""),ROW()-18)),"")</f>
        <v>https://www.comunidad.madrid/hospital/santacristina/profesionales/investigacion-0</v>
      </c>
      <c r="D30" s="99" t="s">
        <v>94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NOTICIAS</v>
      </c>
      <c r="C31" s="174" t="str" cm="1">
        <f t="array" ref="C31">IFERROR(INDEX('03.Muestra'!$F$8:$F$42,SMALL(IF("Página Web"='03.Muestra'!$D$8:$D$42,ROW('03.Muestra'!$F$8:$F$42)-MIN(ROW('03.Muestra'!$D$8:$D$42))+1,""),ROW()-18)),"")</f>
        <v>https://www.comunidad.madrid/hospital/santacristina/comunicacion/noticias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ACTOS DEL CENTENARIO</v>
      </c>
      <c r="C32" s="174" t="str" cm="1">
        <f t="array" ref="C32">IFERROR(INDEX('03.Muestra'!$F$8:$F$42,SMALL(IF("Página Web"='03.Muestra'!$D$8:$D$42,ROW('03.Muestra'!$F$8:$F$42)-MIN(ROW('03.Muestra'!$D$8:$D$42))+1,""),ROW()-18)),"")</f>
        <v>https://www.comunidad.madrid/hospital/santacristina/nosotros/actos-centenario</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ACCESIBILIDAD HOSPITAL</v>
      </c>
      <c r="C33" s="174" t="str" cm="1">
        <f t="array" ref="C33">IFERROR(INDEX('03.Muestra'!$F$8:$F$42,SMALL(IF("Página Web"='03.Muestra'!$D$8:$D$42,ROW('03.Muestra'!$F$8:$F$42)-MIN(ROW('03.Muestra'!$D$8:$D$42))+1,""),ROW()-18)),"")</f>
        <v>https://www.comunidad.madrid/hospital/santacristina/nosotros/accesibilidad-hospital</v>
      </c>
      <c r="D33" s="99" t="s">
        <v>94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CARTERA DE SERVICIOS</v>
      </c>
      <c r="C34" s="174" t="str" cm="1">
        <f t="array" ref="C34">IFERROR(INDEX('03.Muestra'!$F$8:$F$42,SMALL(IF("Página Web"='03.Muestra'!$D$8:$D$42,ROW('03.Muestra'!$F$8:$F$42)-MIN(ROW('03.Muestra'!$D$8:$D$42))+1,""),ROW()-18)),"")</f>
        <v>https://www.comunidad.madrid/hospital/santacristina/nosotros/cartera-servicios</v>
      </c>
      <c r="D34" s="99" t="s">
        <v>94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CONTACTO</v>
      </c>
      <c r="C35" s="174" t="str" cm="1">
        <f t="array" ref="C35">IFERROR(INDEX('03.Muestra'!$F$8:$F$42,SMALL(IF("Página Web"='03.Muestra'!$D$8:$D$42,ROW('03.Muestra'!$F$8:$F$42)-MIN(ROW('03.Muestra'!$D$8:$D$42))+1,""),ROW()-18)),"")</f>
        <v>https://www.comunidad.madrid/hospital/santacristina/comunicacion/contacto</v>
      </c>
      <c r="D35" s="99" t="s">
        <v>94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ACCESIBILIDAD</v>
      </c>
      <c r="C36" s="174" t="str" cm="1">
        <f t="array" ref="C36">IFERROR(INDEX('03.Muestra'!$F$8:$F$42,SMALL(IF("Página Web"='03.Muestra'!$D$8:$D$42,ROW('03.Muestra'!$F$8:$F$42)-MIN(ROW('03.Muestra'!$D$8:$D$42))+1,""),ROW()-18)),"")</f>
        <v>https://www.comunidad.madrid/hospital/santacristina/declaracion-accesibilidad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LEGAL</v>
      </c>
      <c r="C37" s="174" t="str" cm="1">
        <f t="array" ref="C37">IFERROR(INDEX('03.Muestra'!$F$8:$F$42,SMALL(IF("Página Web"='03.Muestra'!$D$8:$D$42,ROW('03.Muestra'!$F$8:$F$42)-MIN(ROW('03.Muestra'!$D$8:$D$42))+1,""),ROW()-18)),"")</f>
        <v>https://www.comunidad.madrid/hospital/santacristina/ciudadanos/aviso-legal-privacidad</v>
      </c>
      <c r="D37" s="99" t="s">
        <v>94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MAPA WEB</v>
      </c>
      <c r="C38" s="174" t="str" cm="1">
        <f t="array" ref="C38">IFERROR(INDEX('03.Muestra'!$F$8:$F$42,SMALL(IF("Página Web"='03.Muestra'!$D$8:$D$42,ROW('03.Muestra'!$F$8:$F$42)-MIN(ROW('03.Muestra'!$D$8:$D$42))+1,""),ROW()-18)),"")</f>
        <v>https://www.comunidad.madrid/hospital/santacristina/sitemap</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PRINCIPAL</v>
      </c>
      <c r="C57" s="175" t="str" cm="1">
        <f t="array" ref="C57">IFERROR(INDEX('03.Muestra'!$F$8:$F$42,SMALL(IF("Página Web"='03.Muestra'!$D$8:$D$42,ROW('03.Muestra'!$F$8:$F$42)-MIN(ROW('03.Muestra'!$D$8:$D$42))+1,""),ROW()-56)),"")</f>
        <v>https://www.comunidad.madrid/hospital/santacristina/</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https://www.comunidad.madrid/hospital/santacristina/ciudadanos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https://www.comunidad.madrid/hospital/santacristina/profesionales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COMUNICACIÓN</v>
      </c>
      <c r="C60" s="175" t="str" cm="1">
        <f t="array" ref="C60">IFERROR(INDEX('03.Muestra'!$F$8:$F$42,SMALL(IF("Página Web"='03.Muestra'!$D$8:$D$42,ROW('03.Muestra'!$F$8:$F$42)-MIN(ROW('03.Muestra'!$D$8:$D$42))+1,""),ROW()-56)),"")</f>
        <v>https://www.comunidad.madrid/hospital/santacristina/comunicacion</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https://www.comunidad.madrid/hospital/santacristina/nosotros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BUSCADOR</v>
      </c>
      <c r="C62" s="175" t="str" cm="1">
        <f t="array" ref="C62">IFERROR(INDEX('03.Muestra'!$F$8:$F$42,SMALL(IF("Página Web"='03.Muestra'!$D$8:$D$42,ROW('03.Muestra'!$F$8:$F$42)-MIN(ROW('03.Muestra'!$D$8:$D$42))+1,""),ROW()-56)),"")</f>
        <v>https://www.comunidad.madrid/hospital/santacristina/buscar?search_api_fulltext=&amp;nombre=</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ATENCIÓN AL PACIENTE</v>
      </c>
      <c r="C63" s="175" t="str" cm="1">
        <f t="array" ref="C63">IFERROR(INDEX('03.Muestra'!$F$8:$F$42,SMALL(IF("Página Web"='03.Muestra'!$D$8:$D$42,ROW('03.Muestra'!$F$8:$F$42)-MIN(ROW('03.Muestra'!$D$8:$D$42))+1,""),ROW()-56)),"")</f>
        <v>https://www.comunidad.madrid/hospital/santacristina/ciudadanos/atencion-paciente</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ATENCIÓN ESPIRITUAL</v>
      </c>
      <c r="C64" s="175" t="str" cm="1">
        <f t="array" ref="C64">IFERROR(INDEX('03.Muestra'!$F$8:$F$42,SMALL(IF("Página Web"='03.Muestra'!$D$8:$D$42,ROW('03.Muestra'!$F$8:$F$42)-MIN(ROW('03.Muestra'!$D$8:$D$42))+1,""),ROW()-56)),"")</f>
        <v>https://www.comunidad.madrid/hospital/santacristina/ciudadanos/atencion-espiritual-religiosa</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LOCALIZACIÓN Y ACCESO</v>
      </c>
      <c r="C65" s="175" t="str" cm="1">
        <f t="array" ref="C65">IFERROR(INDEX('03.Muestra'!$F$8:$F$42,SMALL(IF("Página Web"='03.Muestra'!$D$8:$D$42,ROW('03.Muestra'!$F$8:$F$42)-MIN(ROW('03.Muestra'!$D$8:$D$42))+1,""),ROW()-56)),"")</f>
        <v>https://www.comunidad.madrid/hospital/santacristina/ciudadanos/localizacion-acceso</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GUÍAS DE USUARIO</v>
      </c>
      <c r="C66" s="175" t="str" cm="1">
        <f t="array" ref="C66">IFERROR(INDEX('03.Muestra'!$F$8:$F$42,SMALL(IF("Página Web"='03.Muestra'!$D$8:$D$42,ROW('03.Muestra'!$F$8:$F$42)-MIN(ROW('03.Muestra'!$D$8:$D$42))+1,""),ROW()-56)),"")</f>
        <v>https://www.comunidad.madrid/hospital/santacristina/ciudadanos/guias-usuario</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SERVICIOS QUIRÚRGICOS</v>
      </c>
      <c r="C67" s="175" t="str" cm="1">
        <f t="array" ref="C67">IFERROR(INDEX('03.Muestra'!$F$8:$F$42,SMALL(IF("Página Web"='03.Muestra'!$D$8:$D$42,ROW('03.Muestra'!$F$8:$F$42)-MIN(ROW('03.Muestra'!$D$8:$D$42))+1,""),ROW()-56)),"")</f>
        <v>https://www.comunidad.madrid/hospital/santacristina/profesionales/servicios-quirurgicos-0</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INVESTIGACIÓN</v>
      </c>
      <c r="C68" s="175" t="str" cm="1">
        <f t="array" ref="C68">IFERROR(INDEX('03.Muestra'!$F$8:$F$42,SMALL(IF("Página Web"='03.Muestra'!$D$8:$D$42,ROW('03.Muestra'!$F$8:$F$42)-MIN(ROW('03.Muestra'!$D$8:$D$42))+1,""),ROW()-56)),"")</f>
        <v>https://www.comunidad.madrid/hospital/santacristina/profesionales/investigacion-0</v>
      </c>
      <c r="D68" s="99" t="s">
        <v>104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NOTICIAS</v>
      </c>
      <c r="C69" s="175" t="str" cm="1">
        <f t="array" ref="C69">IFERROR(INDEX('03.Muestra'!$F$8:$F$42,SMALL(IF("Página Web"='03.Muestra'!$D$8:$D$42,ROW('03.Muestra'!$F$8:$F$42)-MIN(ROW('03.Muestra'!$D$8:$D$42))+1,""),ROW()-56)),"")</f>
        <v>https://www.comunidad.madrid/hospital/santacristina/comunicacion/noticias</v>
      </c>
      <c r="D69" s="99" t="s">
        <v>104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ACTOS DEL CENTENARIO</v>
      </c>
      <c r="C70" s="175" t="str" cm="1">
        <f t="array" ref="C70">IFERROR(INDEX('03.Muestra'!$F$8:$F$42,SMALL(IF("Página Web"='03.Muestra'!$D$8:$D$42,ROW('03.Muestra'!$F$8:$F$42)-MIN(ROW('03.Muestra'!$D$8:$D$42))+1,""),ROW()-56)),"")</f>
        <v>https://www.comunidad.madrid/hospital/santacristina/nosotros/actos-centenario</v>
      </c>
      <c r="D70" s="99" t="s">
        <v>104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ACCESIBILIDAD HOSPITAL</v>
      </c>
      <c r="C71" s="175" t="str" cm="1">
        <f t="array" ref="C71">IFERROR(INDEX('03.Muestra'!$F$8:$F$42,SMALL(IF("Página Web"='03.Muestra'!$D$8:$D$42,ROW('03.Muestra'!$F$8:$F$42)-MIN(ROW('03.Muestra'!$D$8:$D$42))+1,""),ROW()-56)),"")</f>
        <v>https://www.comunidad.madrid/hospital/santacristina/nosotros/accesibilidad-hospital</v>
      </c>
      <c r="D71" s="99" t="s">
        <v>104</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CARTERA DE SERVICIOS</v>
      </c>
      <c r="C72" s="175" t="str" cm="1">
        <f t="array" ref="C72">IFERROR(INDEX('03.Muestra'!$F$8:$F$42,SMALL(IF("Página Web"='03.Muestra'!$D$8:$D$42,ROW('03.Muestra'!$F$8:$F$42)-MIN(ROW('03.Muestra'!$D$8:$D$42))+1,""),ROW()-56)),"")</f>
        <v>https://www.comunidad.madrid/hospital/santacristina/nosotros/cartera-servicios</v>
      </c>
      <c r="D72" s="99" t="s">
        <v>104</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CONTACTO</v>
      </c>
      <c r="C73" s="175" t="str" cm="1">
        <f t="array" ref="C73">IFERROR(INDEX('03.Muestra'!$F$8:$F$42,SMALL(IF("Página Web"='03.Muestra'!$D$8:$D$42,ROW('03.Muestra'!$F$8:$F$42)-MIN(ROW('03.Muestra'!$D$8:$D$42))+1,""),ROW()-56)),"")</f>
        <v>https://www.comunidad.madrid/hospital/santacristina/comunicacion/contacto</v>
      </c>
      <c r="D73" s="99" t="s">
        <v>104</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ACCESIBILIDAD</v>
      </c>
      <c r="C74" s="175" t="str" cm="1">
        <f t="array" ref="C74">IFERROR(INDEX('03.Muestra'!$F$8:$F$42,SMALL(IF("Página Web"='03.Muestra'!$D$8:$D$42,ROW('03.Muestra'!$F$8:$F$42)-MIN(ROW('03.Muestra'!$D$8:$D$42))+1,""),ROW()-56)),"")</f>
        <v>https://www.comunidad.madrid/hospital/santacristina/declaracion-accesibilidad</v>
      </c>
      <c r="D74" s="99" t="s">
        <v>104</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LEGAL</v>
      </c>
      <c r="C75" s="175" t="str" cm="1">
        <f t="array" ref="C75">IFERROR(INDEX('03.Muestra'!$F$8:$F$42,SMALL(IF("Página Web"='03.Muestra'!$D$8:$D$42,ROW('03.Muestra'!$F$8:$F$42)-MIN(ROW('03.Muestra'!$D$8:$D$42))+1,""),ROW()-56)),"")</f>
        <v>https://www.comunidad.madrid/hospital/santacristina/ciudadanos/aviso-legal-privacidad</v>
      </c>
      <c r="D75" s="99" t="s">
        <v>104</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MAPA WEB</v>
      </c>
      <c r="C76" s="175" t="str" cm="1">
        <f t="array" ref="C76">IFERROR(INDEX('03.Muestra'!$F$8:$F$42,SMALL(IF("Página Web"='03.Muestra'!$D$8:$D$42,ROW('03.Muestra'!$F$8:$F$42)-MIN(ROW('03.Muestra'!$D$8:$D$42))+1,""),ROW()-56)),"")</f>
        <v>https://www.comunidad.madrid/hospital/santacristina/sitemap</v>
      </c>
      <c r="D76" s="99" t="s">
        <v>104</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PRINCIPAL</v>
      </c>
      <c r="C95" s="175" t="str" cm="1">
        <f t="array" ref="C95">IFERROR(INDEX('03.Muestra'!$F$8:$F$42,SMALL(IF("Página Web"='03.Muestra'!$D$8:$D$42,ROW('03.Muestra'!$F$8:$F$42)-MIN(ROW('03.Muestra'!$D$8:$D$42))+1,""),ROW()-94)),"")</f>
        <v>https://www.comunidad.madrid/hospital/santacristina/</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https://www.comunidad.madrid/hospital/santacristina/ciudadanos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https://www.comunidad.madrid/hospital/santacristina/profesionales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COMUNICACIÓN</v>
      </c>
      <c r="C98" s="175" t="str" cm="1">
        <f t="array" ref="C98">IFERROR(INDEX('03.Muestra'!$F$8:$F$42,SMALL(IF("Página Web"='03.Muestra'!$D$8:$D$42,ROW('03.Muestra'!$F$8:$F$42)-MIN(ROW('03.Muestra'!$D$8:$D$42))+1,""),ROW()-94)),"")</f>
        <v>https://www.comunidad.madrid/hospital/santacristina/comunicacion</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https://www.comunidad.madrid/hospital/santacristina/nosotros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BUSCADOR</v>
      </c>
      <c r="C100" s="175" t="str" cm="1">
        <f t="array" ref="C100">IFERROR(INDEX('03.Muestra'!$F$8:$F$42,SMALL(IF("Página Web"='03.Muestra'!$D$8:$D$42,ROW('03.Muestra'!$F$8:$F$42)-MIN(ROW('03.Muestra'!$D$8:$D$42))+1,""),ROW()-94)),"")</f>
        <v>https://www.comunidad.madrid/hospital/santacristina/buscar?search_api_fulltext=&amp;nombre=</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ATENCIÓN AL PACIENTE</v>
      </c>
      <c r="C101" s="175" t="str" cm="1">
        <f t="array" ref="C101">IFERROR(INDEX('03.Muestra'!$F$8:$F$42,SMALL(IF("Página Web"='03.Muestra'!$D$8:$D$42,ROW('03.Muestra'!$F$8:$F$42)-MIN(ROW('03.Muestra'!$D$8:$D$42))+1,""),ROW()-94)),"")</f>
        <v>https://www.comunidad.madrid/hospital/santacristina/ciudadanos/atencion-paciente</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ATENCIÓN ESPIRITUAL</v>
      </c>
      <c r="C102" s="175" t="str" cm="1">
        <f t="array" ref="C102">IFERROR(INDEX('03.Muestra'!$F$8:$F$42,SMALL(IF("Página Web"='03.Muestra'!$D$8:$D$42,ROW('03.Muestra'!$F$8:$F$42)-MIN(ROW('03.Muestra'!$D$8:$D$42))+1,""),ROW()-94)),"")</f>
        <v>https://www.comunidad.madrid/hospital/santacristina/ciudadanos/atencion-espiritual-religiosa</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LOCALIZACIÓN Y ACCESO</v>
      </c>
      <c r="C103" s="175" t="str" cm="1">
        <f t="array" ref="C103">IFERROR(INDEX('03.Muestra'!$F$8:$F$42,SMALL(IF("Página Web"='03.Muestra'!$D$8:$D$42,ROW('03.Muestra'!$F$8:$F$42)-MIN(ROW('03.Muestra'!$D$8:$D$42))+1,""),ROW()-94)),"")</f>
        <v>https://www.comunidad.madrid/hospital/santacristina/ciudadanos/localizacion-acceso</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GUÍAS DE USUARIO</v>
      </c>
      <c r="C104" s="175" t="str" cm="1">
        <f t="array" ref="C104">IFERROR(INDEX('03.Muestra'!$F$8:$F$42,SMALL(IF("Página Web"='03.Muestra'!$D$8:$D$42,ROW('03.Muestra'!$F$8:$F$42)-MIN(ROW('03.Muestra'!$D$8:$D$42))+1,""),ROW()-94)),"")</f>
        <v>https://www.comunidad.madrid/hospital/santacristina/ciudadanos/guias-usuario</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SERVICIOS QUIRÚRGICOS</v>
      </c>
      <c r="C105" s="175" t="str" cm="1">
        <f t="array" ref="C105">IFERROR(INDEX('03.Muestra'!$F$8:$F$42,SMALL(IF("Página Web"='03.Muestra'!$D$8:$D$42,ROW('03.Muestra'!$F$8:$F$42)-MIN(ROW('03.Muestra'!$D$8:$D$42))+1,""),ROW()-94)),"")</f>
        <v>https://www.comunidad.madrid/hospital/santacristina/profesionales/servicios-quirurgicos-0</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INVESTIGACIÓN</v>
      </c>
      <c r="C106" s="175" t="str" cm="1">
        <f t="array" ref="C106">IFERROR(INDEX('03.Muestra'!$F$8:$F$42,SMALL(IF("Página Web"='03.Muestra'!$D$8:$D$42,ROW('03.Muestra'!$F$8:$F$42)-MIN(ROW('03.Muestra'!$D$8:$D$42))+1,""),ROW()-94)),"")</f>
        <v>https://www.comunidad.madrid/hospital/santacristina/profesionales/investigacion-0</v>
      </c>
      <c r="D106" s="99" t="s">
        <v>104</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NOTICIAS</v>
      </c>
      <c r="C107" s="175" t="str" cm="1">
        <f t="array" ref="C107">IFERROR(INDEX('03.Muestra'!$F$8:$F$42,SMALL(IF("Página Web"='03.Muestra'!$D$8:$D$42,ROW('03.Muestra'!$F$8:$F$42)-MIN(ROW('03.Muestra'!$D$8:$D$42))+1,""),ROW()-94)),"")</f>
        <v>https://www.comunidad.madrid/hospital/santacristina/comunicacion/noticias</v>
      </c>
      <c r="D107" s="99" t="s">
        <v>104</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ACTOS DEL CENTENARIO</v>
      </c>
      <c r="C108" s="175" t="str" cm="1">
        <f t="array" ref="C108">IFERROR(INDEX('03.Muestra'!$F$8:$F$42,SMALL(IF("Página Web"='03.Muestra'!$D$8:$D$42,ROW('03.Muestra'!$F$8:$F$42)-MIN(ROW('03.Muestra'!$D$8:$D$42))+1,""),ROW()-94)),"")</f>
        <v>https://www.comunidad.madrid/hospital/santacristina/nosotros/actos-centenario</v>
      </c>
      <c r="D108" s="99" t="s">
        <v>104</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ACCESIBILIDAD HOSPITAL</v>
      </c>
      <c r="C109" s="175" t="str" cm="1">
        <f t="array" ref="C109">IFERROR(INDEX('03.Muestra'!$F$8:$F$42,SMALL(IF("Página Web"='03.Muestra'!$D$8:$D$42,ROW('03.Muestra'!$F$8:$F$42)-MIN(ROW('03.Muestra'!$D$8:$D$42))+1,""),ROW()-94)),"")</f>
        <v>https://www.comunidad.madrid/hospital/santacristina/nosotros/accesibilidad-hospital</v>
      </c>
      <c r="D109" s="99" t="s">
        <v>104</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CARTERA DE SERVICIOS</v>
      </c>
      <c r="C110" s="175" t="str" cm="1">
        <f t="array" ref="C110">IFERROR(INDEX('03.Muestra'!$F$8:$F$42,SMALL(IF("Página Web"='03.Muestra'!$D$8:$D$42,ROW('03.Muestra'!$F$8:$F$42)-MIN(ROW('03.Muestra'!$D$8:$D$42))+1,""),ROW()-94)),"")</f>
        <v>https://www.comunidad.madrid/hospital/santacristina/nosotros/cartera-servicios</v>
      </c>
      <c r="D110" s="99" t="s">
        <v>104</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CONTACTO</v>
      </c>
      <c r="C111" s="175" t="str" cm="1">
        <f t="array" ref="C111">IFERROR(INDEX('03.Muestra'!$F$8:$F$42,SMALL(IF("Página Web"='03.Muestra'!$D$8:$D$42,ROW('03.Muestra'!$F$8:$F$42)-MIN(ROW('03.Muestra'!$D$8:$D$42))+1,""),ROW()-94)),"")</f>
        <v>https://www.comunidad.madrid/hospital/santacristina/comunicacion/contacto</v>
      </c>
      <c r="D111" s="99" t="s">
        <v>104</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ACCESIBILIDAD</v>
      </c>
      <c r="C112" s="175" t="str" cm="1">
        <f t="array" ref="C112">IFERROR(INDEX('03.Muestra'!$F$8:$F$42,SMALL(IF("Página Web"='03.Muestra'!$D$8:$D$42,ROW('03.Muestra'!$F$8:$F$42)-MIN(ROW('03.Muestra'!$D$8:$D$42))+1,""),ROW()-94)),"")</f>
        <v>https://www.comunidad.madrid/hospital/santacristina/declaracion-accesibilidad</v>
      </c>
      <c r="D112" s="99" t="s">
        <v>104</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LEGAL</v>
      </c>
      <c r="C113" s="175" t="str" cm="1">
        <f t="array" ref="C113">IFERROR(INDEX('03.Muestra'!$F$8:$F$42,SMALL(IF("Página Web"='03.Muestra'!$D$8:$D$42,ROW('03.Muestra'!$F$8:$F$42)-MIN(ROW('03.Muestra'!$D$8:$D$42))+1,""),ROW()-94)),"")</f>
        <v>https://www.comunidad.madrid/hospital/santacristina/ciudadanos/aviso-legal-privacidad</v>
      </c>
      <c r="D113" s="99" t="s">
        <v>104</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MAPA WEB</v>
      </c>
      <c r="C114" s="175" t="str" cm="1">
        <f t="array" ref="C114">IFERROR(INDEX('03.Muestra'!$F$8:$F$42,SMALL(IF("Página Web"='03.Muestra'!$D$8:$D$42,ROW('03.Muestra'!$F$8:$F$42)-MIN(ROW('03.Muestra'!$D$8:$D$42))+1,""),ROW()-94)),"")</f>
        <v>https://www.comunidad.madrid/hospital/santacristina/sitemap</v>
      </c>
      <c r="D114" s="99" t="s">
        <v>104</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703" zoomScale="77" zoomScaleNormal="77" workbookViewId="0">
      <selection activeCell="D703" sqref="D703: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380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https://www.comunidad.madrid/hospital/santacristina/</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https://www.comunidad.madrid/hospital/santacristina/ciudadanos</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https://www.comunidad.madrid/hospital/santacristina/profesionales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https://www.comunidad.madrid/hospital/santacristina/comunicacion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https://www.comunidad.madrid/hospital/santacristina/nosotros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https://www.comunidad.madrid/hospital/santacristina/buscar?search_api_fulltext=&amp;nombre=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ATENCIÓN AL PACIENTE</v>
      </c>
      <c r="C25" s="85" t="str" cm="1">
        <f t="array" ref="C25">IFERROR(INDEX('03.Muestra'!$F$8:$F$42,SMALL(IF("Página Web"='03.Muestra'!$D$8:$D$42,ROW('03.Muestra'!$F$8:$F$42)-MIN(ROW('03.Muestra'!$D$8:$D$42))+1,""),ROW()-18)),"")</f>
        <v>https://www.comunidad.madrid/hospital/santacristina/ciudadanos/atencion-paciente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ATENCIÓN ESPIRITUAL</v>
      </c>
      <c r="C26" s="85" t="str" cm="1">
        <f t="array" ref="C26">IFERROR(INDEX('03.Muestra'!$F$8:$F$42,SMALL(IF("Página Web"='03.Muestra'!$D$8:$D$42,ROW('03.Muestra'!$F$8:$F$42)-MIN(ROW('03.Muestra'!$D$8:$D$42))+1,""),ROW()-18)),"")</f>
        <v>https://www.comunidad.madrid/hospital/santacristina/ciudadanos/atencion-espiritual-religiosa</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LOCALIZACIÓN Y ACCESO</v>
      </c>
      <c r="C27" s="85" t="str" cm="1">
        <f t="array" ref="C27">IFERROR(INDEX('03.Muestra'!$F$8:$F$42,SMALL(IF("Página Web"='03.Muestra'!$D$8:$D$42,ROW('03.Muestra'!$F$8:$F$42)-MIN(ROW('03.Muestra'!$D$8:$D$42))+1,""),ROW()-18)),"")</f>
        <v>https://www.comunidad.madrid/hospital/santacristina/ciudadanos/localizacion-acceso</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GUÍAS DE USUARIO</v>
      </c>
      <c r="C28" s="85" t="str" cm="1">
        <f t="array" ref="C28">IFERROR(INDEX('03.Muestra'!$F$8:$F$42,SMALL(IF("Página Web"='03.Muestra'!$D$8:$D$42,ROW('03.Muestra'!$F$8:$F$42)-MIN(ROW('03.Muestra'!$D$8:$D$42))+1,""),ROW()-18)),"")</f>
        <v>https://www.comunidad.madrid/hospital/santacristina/ciudadanos/guias-usuario</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SERVICIOS QUIRÚRGICOS</v>
      </c>
      <c r="C29" s="85" t="str" cm="1">
        <f t="array" ref="C29">IFERROR(INDEX('03.Muestra'!$F$8:$F$42,SMALL(IF("Página Web"='03.Muestra'!$D$8:$D$42,ROW('03.Muestra'!$F$8:$F$42)-MIN(ROW('03.Muestra'!$D$8:$D$42))+1,""),ROW()-18)),"")</f>
        <v>https://www.comunidad.madrid/hospital/santacristina/profesionales/servicios-quirurgicos-0</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INVESTIGACIÓN</v>
      </c>
      <c r="C30" s="85" t="str" cm="1">
        <f t="array" ref="C30">IFERROR(INDEX('03.Muestra'!$F$8:$F$42,SMALL(IF("Página Web"='03.Muestra'!$D$8:$D$42,ROW('03.Muestra'!$F$8:$F$42)-MIN(ROW('03.Muestra'!$D$8:$D$42))+1,""),ROW()-18)),"")</f>
        <v>https://www.comunidad.madrid/hospital/santacristina/profesionales/investigacion-0</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NOTICIAS</v>
      </c>
      <c r="C31" s="85" t="str" cm="1">
        <f t="array" ref="C31">IFERROR(INDEX('03.Muestra'!$F$8:$F$42,SMALL(IF("Página Web"='03.Muestra'!$D$8:$D$42,ROW('03.Muestra'!$F$8:$F$42)-MIN(ROW('03.Muestra'!$D$8:$D$42))+1,""),ROW()-18)),"")</f>
        <v>https://www.comunidad.madrid/hospital/santacristina/comunicacion/noticias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ACTOS DEL CENTENARIO</v>
      </c>
      <c r="C32" s="85" t="str" cm="1">
        <f t="array" ref="C32">IFERROR(INDEX('03.Muestra'!$F$8:$F$42,SMALL(IF("Página Web"='03.Muestra'!$D$8:$D$42,ROW('03.Muestra'!$F$8:$F$42)-MIN(ROW('03.Muestra'!$D$8:$D$42))+1,""),ROW()-18)),"")</f>
        <v>https://www.comunidad.madrid/hospital/santacristina/nosotros/actos-centenario</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ACCESIBILIDAD HOSPITAL</v>
      </c>
      <c r="C33" s="85" t="str" cm="1">
        <f t="array" ref="C33">IFERROR(INDEX('03.Muestra'!$F$8:$F$42,SMALL(IF("Página Web"='03.Muestra'!$D$8:$D$42,ROW('03.Muestra'!$F$8:$F$42)-MIN(ROW('03.Muestra'!$D$8:$D$42))+1,""),ROW()-18)),"")</f>
        <v>https://www.comunidad.madrid/hospital/santacristina/nosotros/accesibilidad-hospital</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CARTERA DE SERVICIOS</v>
      </c>
      <c r="C34" s="85" t="str" cm="1">
        <f t="array" ref="C34">IFERROR(INDEX('03.Muestra'!$F$8:$F$42,SMALL(IF("Página Web"='03.Muestra'!$D$8:$D$42,ROW('03.Muestra'!$F$8:$F$42)-MIN(ROW('03.Muestra'!$D$8:$D$42))+1,""),ROW()-18)),"")</f>
        <v>https://www.comunidad.madrid/hospital/santacristina/nosotros/cartera-servicios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CONTACTO</v>
      </c>
      <c r="C35" s="85" t="str" cm="1">
        <f t="array" ref="C35">IFERROR(INDEX('03.Muestra'!$F$8:$F$42,SMALL(IF("Página Web"='03.Muestra'!$D$8:$D$42,ROW('03.Muestra'!$F$8:$F$42)-MIN(ROW('03.Muestra'!$D$8:$D$42))+1,""),ROW()-18)),"")</f>
        <v>https://www.comunidad.madrid/hospital/santacristina/comunicacion/contacto</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https://www.comunidad.madrid/hospital/santacristina/declaracion-accesibilidad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LEGAL</v>
      </c>
      <c r="C37" s="85" t="str" cm="1">
        <f t="array" ref="C37">IFERROR(INDEX('03.Muestra'!$F$8:$F$42,SMALL(IF("Página Web"='03.Muestra'!$D$8:$D$42,ROW('03.Muestra'!$F$8:$F$42)-MIN(ROW('03.Muestra'!$D$8:$D$42))+1,""),ROW()-18)),"")</f>
        <v>https://www.comunidad.madrid/hospital/santacristina/ciudadanos/aviso-legal-privacidad</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MAPA WEB</v>
      </c>
      <c r="C38" s="85" t="str" cm="1">
        <f t="array" ref="C38">IFERROR(INDEX('03.Muestra'!$F$8:$F$42,SMALL(IF("Página Web"='03.Muestra'!$D$8:$D$42,ROW('03.Muestra'!$F$8:$F$42)-MIN(ROW('03.Muestra'!$D$8:$D$42))+1,""),ROW()-18)),"")</f>
        <v>https://www.comunidad.madrid/hospital/santacristina/sitemap</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https://www.comunidad.madrid/hospital/santacristina/</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https://www.comunidad.madrid/hospital/santacristina/ciudadanos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https://www.comunidad.madrid/hospital/santacristina/profesionales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https://www.comunidad.madrid/hospital/santacristina/comunicacion</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https://www.comunidad.madrid/hospital/santacristina/nosotros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https://www.comunidad.madrid/hospital/santacristina/buscar?search_api_fulltext=&amp;nombre=</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ATENCIÓN AL PACIENTE</v>
      </c>
      <c r="C63" s="85" t="str" cm="1">
        <f t="array" ref="C63">IFERROR(INDEX('03.Muestra'!$F$8:$F$42,SMALL(IF("Página Web"='03.Muestra'!$D$8:$D$42,ROW('03.Muestra'!$F$8:$F$42)-MIN(ROW('03.Muestra'!$D$8:$D$42))+1,""),ROW()-56)),"")</f>
        <v>https://www.comunidad.madrid/hospital/santacristina/ciudadanos/atencion-paciente</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ATENCIÓN ESPIRITUAL</v>
      </c>
      <c r="C64" s="85" t="str" cm="1">
        <f t="array" ref="C64">IFERROR(INDEX('03.Muestra'!$F$8:$F$42,SMALL(IF("Página Web"='03.Muestra'!$D$8:$D$42,ROW('03.Muestra'!$F$8:$F$42)-MIN(ROW('03.Muestra'!$D$8:$D$42))+1,""),ROW()-56)),"")</f>
        <v>https://www.comunidad.madrid/hospital/santacristina/ciudadanos/atencion-espiritual-religiosa</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LOCALIZACIÓN Y ACCESO</v>
      </c>
      <c r="C65" s="85" t="str" cm="1">
        <f t="array" ref="C65">IFERROR(INDEX('03.Muestra'!$F$8:$F$42,SMALL(IF("Página Web"='03.Muestra'!$D$8:$D$42,ROW('03.Muestra'!$F$8:$F$42)-MIN(ROW('03.Muestra'!$D$8:$D$42))+1,""),ROW()-56)),"")</f>
        <v>https://www.comunidad.madrid/hospital/santacristina/ciudadanos/localizacion-acceso</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GUÍAS DE USUARIO</v>
      </c>
      <c r="C66" s="85" t="str" cm="1">
        <f t="array" ref="C66">IFERROR(INDEX('03.Muestra'!$F$8:$F$42,SMALL(IF("Página Web"='03.Muestra'!$D$8:$D$42,ROW('03.Muestra'!$F$8:$F$42)-MIN(ROW('03.Muestra'!$D$8:$D$42))+1,""),ROW()-56)),"")</f>
        <v>https://www.comunidad.madrid/hospital/santacristina/ciudadanos/guias-usuario</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SERVICIOS QUIRÚRGICOS</v>
      </c>
      <c r="C67" s="85" t="str" cm="1">
        <f t="array" ref="C67">IFERROR(INDEX('03.Muestra'!$F$8:$F$42,SMALL(IF("Página Web"='03.Muestra'!$D$8:$D$42,ROW('03.Muestra'!$F$8:$F$42)-MIN(ROW('03.Muestra'!$D$8:$D$42))+1,""),ROW()-56)),"")</f>
        <v>https://www.comunidad.madrid/hospital/santacristina/profesionales/servicios-quirurgicos-0</v>
      </c>
      <c r="D67" s="99" t="s">
        <v>104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INVESTIGACIÓN</v>
      </c>
      <c r="C68" s="85" t="str" cm="1">
        <f t="array" ref="C68">IFERROR(INDEX('03.Muestra'!$F$8:$F$42,SMALL(IF("Página Web"='03.Muestra'!$D$8:$D$42,ROW('03.Muestra'!$F$8:$F$42)-MIN(ROW('03.Muestra'!$D$8:$D$42))+1,""),ROW()-56)),"")</f>
        <v>https://www.comunidad.madrid/hospital/santacristina/profesionales/investigacion-0</v>
      </c>
      <c r="D68" s="99" t="s">
        <v>104</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NOTICIAS</v>
      </c>
      <c r="C69" s="85" t="str" cm="1">
        <f t="array" ref="C69">IFERROR(INDEX('03.Muestra'!$F$8:$F$42,SMALL(IF("Página Web"='03.Muestra'!$D$8:$D$42,ROW('03.Muestra'!$F$8:$F$42)-MIN(ROW('03.Muestra'!$D$8:$D$42))+1,""),ROW()-56)),"")</f>
        <v>https://www.comunidad.madrid/hospital/santacristina/comunicacion/noticias</v>
      </c>
      <c r="D69" s="99" t="s">
        <v>104</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ACTOS DEL CENTENARIO</v>
      </c>
      <c r="C70" s="85" t="str" cm="1">
        <f t="array" ref="C70">IFERROR(INDEX('03.Muestra'!$F$8:$F$42,SMALL(IF("Página Web"='03.Muestra'!$D$8:$D$42,ROW('03.Muestra'!$F$8:$F$42)-MIN(ROW('03.Muestra'!$D$8:$D$42))+1,""),ROW()-56)),"")</f>
        <v>https://www.comunidad.madrid/hospital/santacristina/nosotros/actos-centenario</v>
      </c>
      <c r="D70" s="99" t="s">
        <v>104</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ACCESIBILIDAD HOSPITAL</v>
      </c>
      <c r="C71" s="85" t="str" cm="1">
        <f t="array" ref="C71">IFERROR(INDEX('03.Muestra'!$F$8:$F$42,SMALL(IF("Página Web"='03.Muestra'!$D$8:$D$42,ROW('03.Muestra'!$F$8:$F$42)-MIN(ROW('03.Muestra'!$D$8:$D$42))+1,""),ROW()-56)),"")</f>
        <v>https://www.comunidad.madrid/hospital/santacristina/nosotros/accesibilidad-hospital</v>
      </c>
      <c r="D71" s="99" t="s">
        <v>104</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CARTERA DE SERVICIOS</v>
      </c>
      <c r="C72" s="85" t="str" cm="1">
        <f t="array" ref="C72">IFERROR(INDEX('03.Muestra'!$F$8:$F$42,SMALL(IF("Página Web"='03.Muestra'!$D$8:$D$42,ROW('03.Muestra'!$F$8:$F$42)-MIN(ROW('03.Muestra'!$D$8:$D$42))+1,""),ROW()-56)),"")</f>
        <v>https://www.comunidad.madrid/hospital/santacristina/nosotros/cartera-servicios</v>
      </c>
      <c r="D72" s="99" t="s">
        <v>104</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CONTACTO</v>
      </c>
      <c r="C73" s="85" t="str" cm="1">
        <f t="array" ref="C73">IFERROR(INDEX('03.Muestra'!$F$8:$F$42,SMALL(IF("Página Web"='03.Muestra'!$D$8:$D$42,ROW('03.Muestra'!$F$8:$F$42)-MIN(ROW('03.Muestra'!$D$8:$D$42))+1,""),ROW()-56)),"")</f>
        <v>https://www.comunidad.madrid/hospital/santacristina/comunicacion/contacto</v>
      </c>
      <c r="D73" s="99" t="s">
        <v>104</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https://www.comunidad.madrid/hospital/santacristina/declaracion-accesibilidad</v>
      </c>
      <c r="D74" s="99" t="s">
        <v>104</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LEGAL</v>
      </c>
      <c r="C75" s="85" t="str" cm="1">
        <f t="array" ref="C75">IFERROR(INDEX('03.Muestra'!$F$8:$F$42,SMALL(IF("Página Web"='03.Muestra'!$D$8:$D$42,ROW('03.Muestra'!$F$8:$F$42)-MIN(ROW('03.Muestra'!$D$8:$D$42))+1,""),ROW()-56)),"")</f>
        <v>https://www.comunidad.madrid/hospital/santacristina/ciudadanos/aviso-legal-privacidad</v>
      </c>
      <c r="D75" s="99" t="s">
        <v>104</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MAPA WEB</v>
      </c>
      <c r="C76" s="85" t="str" cm="1">
        <f t="array" ref="C76">IFERROR(INDEX('03.Muestra'!$F$8:$F$42,SMALL(IF("Página Web"='03.Muestra'!$D$8:$D$42,ROW('03.Muestra'!$F$8:$F$42)-MIN(ROW('03.Muestra'!$D$8:$D$42))+1,""),ROW()-56)),"")</f>
        <v>https://www.comunidad.madrid/hospital/santacristina/sitemap</v>
      </c>
      <c r="D76" s="99" t="s">
        <v>104</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https://www.comunidad.madrid/hospital/santacristina/</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https://www.comunidad.madrid/hospital/santacristina/ciudadanos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https://www.comunidad.madrid/hospital/santacristina/profesionales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https://www.comunidad.madrid/hospital/santacristina/comunicacion</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https://www.comunidad.madrid/hospital/santacristina/nosotros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https://www.comunidad.madrid/hospital/santacristina/buscar?search_api_fulltext=&amp;nombre=</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ATENCIÓN AL PACIENTE</v>
      </c>
      <c r="C101" s="85" t="str" cm="1">
        <f t="array" ref="C101">IFERROR(INDEX('03.Muestra'!$F$8:$F$42,SMALL(IF("Página Web"='03.Muestra'!$D$8:$D$42,ROW('03.Muestra'!$F$8:$F$42)-MIN(ROW('03.Muestra'!$D$8:$D$42))+1,""),ROW()-94)),"")</f>
        <v>https://www.comunidad.madrid/hospital/santacristina/ciudadanos/atencion-paciente</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ATENCIÓN ESPIRITUAL</v>
      </c>
      <c r="C102" s="85" t="str" cm="1">
        <f t="array" ref="C102">IFERROR(INDEX('03.Muestra'!$F$8:$F$42,SMALL(IF("Página Web"='03.Muestra'!$D$8:$D$42,ROW('03.Muestra'!$F$8:$F$42)-MIN(ROW('03.Muestra'!$D$8:$D$42))+1,""),ROW()-94)),"")</f>
        <v>https://www.comunidad.madrid/hospital/santacristina/ciudadanos/atencion-espiritual-religiosa</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LOCALIZACIÓN Y ACCESO</v>
      </c>
      <c r="C103" s="85" t="str" cm="1">
        <f t="array" ref="C103">IFERROR(INDEX('03.Muestra'!$F$8:$F$42,SMALL(IF("Página Web"='03.Muestra'!$D$8:$D$42,ROW('03.Muestra'!$F$8:$F$42)-MIN(ROW('03.Muestra'!$D$8:$D$42))+1,""),ROW()-94)),"")</f>
        <v>https://www.comunidad.madrid/hospital/santacristina/ciudadanos/localizacion-acceso</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GUÍAS DE USUARIO</v>
      </c>
      <c r="C104" s="85" t="str" cm="1">
        <f t="array" ref="C104">IFERROR(INDEX('03.Muestra'!$F$8:$F$42,SMALL(IF("Página Web"='03.Muestra'!$D$8:$D$42,ROW('03.Muestra'!$F$8:$F$42)-MIN(ROW('03.Muestra'!$D$8:$D$42))+1,""),ROW()-94)),"")</f>
        <v>https://www.comunidad.madrid/hospital/santacristina/ciudadanos/guias-usuario</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SERVICIOS QUIRÚRGICOS</v>
      </c>
      <c r="C105" s="85" t="str" cm="1">
        <f t="array" ref="C105">IFERROR(INDEX('03.Muestra'!$F$8:$F$42,SMALL(IF("Página Web"='03.Muestra'!$D$8:$D$42,ROW('03.Muestra'!$F$8:$F$42)-MIN(ROW('03.Muestra'!$D$8:$D$42))+1,""),ROW()-94)),"")</f>
        <v>https://www.comunidad.madrid/hospital/santacristina/profesionales/servicios-quirurgicos-0</v>
      </c>
      <c r="D105" s="99" t="s">
        <v>104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INVESTIGACIÓN</v>
      </c>
      <c r="C106" s="85" t="str" cm="1">
        <f t="array" ref="C106">IFERROR(INDEX('03.Muestra'!$F$8:$F$42,SMALL(IF("Página Web"='03.Muestra'!$D$8:$D$42,ROW('03.Muestra'!$F$8:$F$42)-MIN(ROW('03.Muestra'!$D$8:$D$42))+1,""),ROW()-94)),"")</f>
        <v>https://www.comunidad.madrid/hospital/santacristina/profesionales/investigacion-0</v>
      </c>
      <c r="D106" s="99" t="s">
        <v>104</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NOTICIAS</v>
      </c>
      <c r="C107" s="85" t="str" cm="1">
        <f t="array" ref="C107">IFERROR(INDEX('03.Muestra'!$F$8:$F$42,SMALL(IF("Página Web"='03.Muestra'!$D$8:$D$42,ROW('03.Muestra'!$F$8:$F$42)-MIN(ROW('03.Muestra'!$D$8:$D$42))+1,""),ROW()-94)),"")</f>
        <v>https://www.comunidad.madrid/hospital/santacristina/comunicacion/noticias</v>
      </c>
      <c r="D107" s="99" t="s">
        <v>104</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ACTOS DEL CENTENARIO</v>
      </c>
      <c r="C108" s="85" t="str" cm="1">
        <f t="array" ref="C108">IFERROR(INDEX('03.Muestra'!$F$8:$F$42,SMALL(IF("Página Web"='03.Muestra'!$D$8:$D$42,ROW('03.Muestra'!$F$8:$F$42)-MIN(ROW('03.Muestra'!$D$8:$D$42))+1,""),ROW()-94)),"")</f>
        <v>https://www.comunidad.madrid/hospital/santacristina/nosotros/actos-centenario</v>
      </c>
      <c r="D108" s="99" t="s">
        <v>104</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ACCESIBILIDAD HOSPITAL</v>
      </c>
      <c r="C109" s="85" t="str" cm="1">
        <f t="array" ref="C109">IFERROR(INDEX('03.Muestra'!$F$8:$F$42,SMALL(IF("Página Web"='03.Muestra'!$D$8:$D$42,ROW('03.Muestra'!$F$8:$F$42)-MIN(ROW('03.Muestra'!$D$8:$D$42))+1,""),ROW()-94)),"")</f>
        <v>https://www.comunidad.madrid/hospital/santacristina/nosotros/accesibilidad-hospital</v>
      </c>
      <c r="D109" s="99" t="s">
        <v>104</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CARTERA DE SERVICIOS</v>
      </c>
      <c r="C110" s="85" t="str" cm="1">
        <f t="array" ref="C110">IFERROR(INDEX('03.Muestra'!$F$8:$F$42,SMALL(IF("Página Web"='03.Muestra'!$D$8:$D$42,ROW('03.Muestra'!$F$8:$F$42)-MIN(ROW('03.Muestra'!$D$8:$D$42))+1,""),ROW()-94)),"")</f>
        <v>https://www.comunidad.madrid/hospital/santacristina/nosotros/cartera-servicios</v>
      </c>
      <c r="D110" s="99" t="s">
        <v>104</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CONTACTO</v>
      </c>
      <c r="C111" s="85" t="str" cm="1">
        <f t="array" ref="C111">IFERROR(INDEX('03.Muestra'!$F$8:$F$42,SMALL(IF("Página Web"='03.Muestra'!$D$8:$D$42,ROW('03.Muestra'!$F$8:$F$42)-MIN(ROW('03.Muestra'!$D$8:$D$42))+1,""),ROW()-94)),"")</f>
        <v>https://www.comunidad.madrid/hospital/santacristina/comunicacion/contacto</v>
      </c>
      <c r="D111" s="99" t="s">
        <v>104</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https://www.comunidad.madrid/hospital/santacristina/declaracion-accesibilidad</v>
      </c>
      <c r="D112" s="99" t="s">
        <v>104</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LEGAL</v>
      </c>
      <c r="C113" s="85" t="str" cm="1">
        <f t="array" ref="C113">IFERROR(INDEX('03.Muestra'!$F$8:$F$42,SMALL(IF("Página Web"='03.Muestra'!$D$8:$D$42,ROW('03.Muestra'!$F$8:$F$42)-MIN(ROW('03.Muestra'!$D$8:$D$42))+1,""),ROW()-94)),"")</f>
        <v>https://www.comunidad.madrid/hospital/santacristina/ciudadanos/aviso-legal-privacidad</v>
      </c>
      <c r="D113" s="99" t="s">
        <v>104</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MAPA WEB</v>
      </c>
      <c r="C114" s="85" t="str" cm="1">
        <f t="array" ref="C114">IFERROR(INDEX('03.Muestra'!$F$8:$F$42,SMALL(IF("Página Web"='03.Muestra'!$D$8:$D$42,ROW('03.Muestra'!$F$8:$F$42)-MIN(ROW('03.Muestra'!$D$8:$D$42))+1,""),ROW()-94)),"")</f>
        <v>https://www.comunidad.madrid/hospital/santacristina/sitemap</v>
      </c>
      <c r="D114" s="99" t="s">
        <v>104</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https://www.comunidad.madrid/hospital/santacristina/</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https://www.comunidad.madrid/hospital/santacristina/ciudadanos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https://www.comunidad.madrid/hospital/santacristina/profesionales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https://www.comunidad.madrid/hospital/santacristina/comunicacion</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https://www.comunidad.madrid/hospital/santacristina/nosotros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https://www.comunidad.madrid/hospital/santacristina/buscar?search_api_fulltext=&amp;nombre=</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ATENCIÓN AL PACIENTE</v>
      </c>
      <c r="C139" s="85" t="str" cm="1">
        <f t="array" ref="C139">IFERROR(INDEX('03.Muestra'!$F$8:$F$42,SMALL(IF("Página Web"='03.Muestra'!$D$8:$D$42,ROW('03.Muestra'!$F$8:$F$42)-MIN(ROW('03.Muestra'!$D$8:$D$42))+1,""),ROW()-132)),"")</f>
        <v>https://www.comunidad.madrid/hospital/santacristina/ciudadanos/atencion-paciente</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ATENCIÓN ESPIRITUAL</v>
      </c>
      <c r="C140" s="85" t="str" cm="1">
        <f t="array" ref="C140">IFERROR(INDEX('03.Muestra'!$F$8:$F$42,SMALL(IF("Página Web"='03.Muestra'!$D$8:$D$42,ROW('03.Muestra'!$F$8:$F$42)-MIN(ROW('03.Muestra'!$D$8:$D$42))+1,""),ROW()-132)),"")</f>
        <v>https://www.comunidad.madrid/hospital/santacristina/ciudadanos/atencion-espiritual-religiosa</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LOCALIZACIÓN Y ACCESO</v>
      </c>
      <c r="C141" s="85" t="str" cm="1">
        <f t="array" ref="C141">IFERROR(INDEX('03.Muestra'!$F$8:$F$42,SMALL(IF("Página Web"='03.Muestra'!$D$8:$D$42,ROW('03.Muestra'!$F$8:$F$42)-MIN(ROW('03.Muestra'!$D$8:$D$42))+1,""),ROW()-132)),"")</f>
        <v>https://www.comunidad.madrid/hospital/santacristina/ciudadanos/localizacion-acceso</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GUÍAS DE USUARIO</v>
      </c>
      <c r="C142" s="85" t="str" cm="1">
        <f t="array" ref="C142">IFERROR(INDEX('03.Muestra'!$F$8:$F$42,SMALL(IF("Página Web"='03.Muestra'!$D$8:$D$42,ROW('03.Muestra'!$F$8:$F$42)-MIN(ROW('03.Muestra'!$D$8:$D$42))+1,""),ROW()-132)),"")</f>
        <v>https://www.comunidad.madrid/hospital/santacristina/ciudadanos/guias-usuario</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SERVICIOS QUIRÚRGICOS</v>
      </c>
      <c r="C143" s="85" t="str" cm="1">
        <f t="array" ref="C143">IFERROR(INDEX('03.Muestra'!$F$8:$F$42,SMALL(IF("Página Web"='03.Muestra'!$D$8:$D$42,ROW('03.Muestra'!$F$8:$F$42)-MIN(ROW('03.Muestra'!$D$8:$D$42))+1,""),ROW()-132)),"")</f>
        <v>https://www.comunidad.madrid/hospital/santacristina/profesionales/servicios-quirurgicos-0</v>
      </c>
      <c r="D143" s="99" t="s">
        <v>104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INVESTIGACIÓN</v>
      </c>
      <c r="C144" s="85" t="str" cm="1">
        <f t="array" ref="C144">IFERROR(INDEX('03.Muestra'!$F$8:$F$42,SMALL(IF("Página Web"='03.Muestra'!$D$8:$D$42,ROW('03.Muestra'!$F$8:$F$42)-MIN(ROW('03.Muestra'!$D$8:$D$42))+1,""),ROW()-132)),"")</f>
        <v>https://www.comunidad.madrid/hospital/santacristina/profesionales/investigacion-0</v>
      </c>
      <c r="D144" s="99" t="s">
        <v>104</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NOTICIAS</v>
      </c>
      <c r="C145" s="85" t="str" cm="1">
        <f t="array" ref="C145">IFERROR(INDEX('03.Muestra'!$F$8:$F$42,SMALL(IF("Página Web"='03.Muestra'!$D$8:$D$42,ROW('03.Muestra'!$F$8:$F$42)-MIN(ROW('03.Muestra'!$D$8:$D$42))+1,""),ROW()-132)),"")</f>
        <v>https://www.comunidad.madrid/hospital/santacristina/comunicacion/noticias</v>
      </c>
      <c r="D145" s="99" t="s">
        <v>104</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ACTOS DEL CENTENARIO</v>
      </c>
      <c r="C146" s="85" t="str" cm="1">
        <f t="array" ref="C146">IFERROR(INDEX('03.Muestra'!$F$8:$F$42,SMALL(IF("Página Web"='03.Muestra'!$D$8:$D$42,ROW('03.Muestra'!$F$8:$F$42)-MIN(ROW('03.Muestra'!$D$8:$D$42))+1,""),ROW()-132)),"")</f>
        <v>https://www.comunidad.madrid/hospital/santacristina/nosotros/actos-centenario</v>
      </c>
      <c r="D146" s="99" t="s">
        <v>104</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ACCESIBILIDAD HOSPITAL</v>
      </c>
      <c r="C147" s="85" t="str" cm="1">
        <f t="array" ref="C147">IFERROR(INDEX('03.Muestra'!$F$8:$F$42,SMALL(IF("Página Web"='03.Muestra'!$D$8:$D$42,ROW('03.Muestra'!$F$8:$F$42)-MIN(ROW('03.Muestra'!$D$8:$D$42))+1,""),ROW()-132)),"")</f>
        <v>https://www.comunidad.madrid/hospital/santacristina/nosotros/accesibilidad-hospital</v>
      </c>
      <c r="D147" s="99" t="s">
        <v>104</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CARTERA DE SERVICIOS</v>
      </c>
      <c r="C148" s="85" t="str" cm="1">
        <f t="array" ref="C148">IFERROR(INDEX('03.Muestra'!$F$8:$F$42,SMALL(IF("Página Web"='03.Muestra'!$D$8:$D$42,ROW('03.Muestra'!$F$8:$F$42)-MIN(ROW('03.Muestra'!$D$8:$D$42))+1,""),ROW()-132)),"")</f>
        <v>https://www.comunidad.madrid/hospital/santacristina/nosotros/cartera-servicios</v>
      </c>
      <c r="D148" s="99" t="s">
        <v>104</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CONTACTO</v>
      </c>
      <c r="C149" s="85" t="str" cm="1">
        <f t="array" ref="C149">IFERROR(INDEX('03.Muestra'!$F$8:$F$42,SMALL(IF("Página Web"='03.Muestra'!$D$8:$D$42,ROW('03.Muestra'!$F$8:$F$42)-MIN(ROW('03.Muestra'!$D$8:$D$42))+1,""),ROW()-132)),"")</f>
        <v>https://www.comunidad.madrid/hospital/santacristina/comunicacion/contacto</v>
      </c>
      <c r="D149" s="99" t="s">
        <v>104</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https://www.comunidad.madrid/hospital/santacristina/declaracion-accesibilidad</v>
      </c>
      <c r="D150" s="99" t="s">
        <v>104</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LEGAL</v>
      </c>
      <c r="C151" s="85" t="str" cm="1">
        <f t="array" ref="C151">IFERROR(INDEX('03.Muestra'!$F$8:$F$42,SMALL(IF("Página Web"='03.Muestra'!$D$8:$D$42,ROW('03.Muestra'!$F$8:$F$42)-MIN(ROW('03.Muestra'!$D$8:$D$42))+1,""),ROW()-132)),"")</f>
        <v>https://www.comunidad.madrid/hospital/santacristina/ciudadanos/aviso-legal-privacidad</v>
      </c>
      <c r="D151" s="99" t="s">
        <v>104</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MAPA WEB</v>
      </c>
      <c r="C152" s="85" t="str" cm="1">
        <f t="array" ref="C152">IFERROR(INDEX('03.Muestra'!$F$8:$F$42,SMALL(IF("Página Web"='03.Muestra'!$D$8:$D$42,ROW('03.Muestra'!$F$8:$F$42)-MIN(ROW('03.Muestra'!$D$8:$D$42))+1,""),ROW()-132)),"")</f>
        <v>https://www.comunidad.madrid/hospital/santacristina/sitemap</v>
      </c>
      <c r="D152" s="99" t="s">
        <v>104</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https://www.comunidad.madrid/hospital/santacristina/</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https://www.comunidad.madrid/hospital/santacristina/ciudadanos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https://www.comunidad.madrid/hospital/santacristina/profesionales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https://www.comunidad.madrid/hospital/santacristina/comunicacion</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https://www.comunidad.madrid/hospital/santacristina/nosotros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https://www.comunidad.madrid/hospital/santacristina/buscar?search_api_fulltext=&amp;nombre=</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ATENCIÓN AL PACIENTE</v>
      </c>
      <c r="C177" s="85" t="str" cm="1">
        <f t="array" ref="C177">IFERROR(INDEX('03.Muestra'!$F$8:$F$42,SMALL(IF("Página Web"='03.Muestra'!$D$8:$D$42,ROW('03.Muestra'!$F$8:$F$42)-MIN(ROW('03.Muestra'!$D$8:$D$42))+1,""),ROW()-170)),"")</f>
        <v>https://www.comunidad.madrid/hospital/santacristina/ciudadanos/atencion-paciente</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ATENCIÓN ESPIRITUAL</v>
      </c>
      <c r="C178" s="85" t="str" cm="1">
        <f t="array" ref="C178">IFERROR(INDEX('03.Muestra'!$F$8:$F$42,SMALL(IF("Página Web"='03.Muestra'!$D$8:$D$42,ROW('03.Muestra'!$F$8:$F$42)-MIN(ROW('03.Muestra'!$D$8:$D$42))+1,""),ROW()-170)),"")</f>
        <v>https://www.comunidad.madrid/hospital/santacristina/ciudadanos/atencion-espiritual-religiosa</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LOCALIZACIÓN Y ACCESO</v>
      </c>
      <c r="C179" s="85" t="str" cm="1">
        <f t="array" ref="C179">IFERROR(INDEX('03.Muestra'!$F$8:$F$42,SMALL(IF("Página Web"='03.Muestra'!$D$8:$D$42,ROW('03.Muestra'!$F$8:$F$42)-MIN(ROW('03.Muestra'!$D$8:$D$42))+1,""),ROW()-170)),"")</f>
        <v>https://www.comunidad.madrid/hospital/santacristina/ciudadanos/localizacion-acceso</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GUÍAS DE USUARIO</v>
      </c>
      <c r="C180" s="85" t="str" cm="1">
        <f t="array" ref="C180">IFERROR(INDEX('03.Muestra'!$F$8:$F$42,SMALL(IF("Página Web"='03.Muestra'!$D$8:$D$42,ROW('03.Muestra'!$F$8:$F$42)-MIN(ROW('03.Muestra'!$D$8:$D$42))+1,""),ROW()-170)),"")</f>
        <v>https://www.comunidad.madrid/hospital/santacristina/ciudadanos/guias-usuario</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SERVICIOS QUIRÚRGICOS</v>
      </c>
      <c r="C181" s="85" t="str" cm="1">
        <f t="array" ref="C181">IFERROR(INDEX('03.Muestra'!$F$8:$F$42,SMALL(IF("Página Web"='03.Muestra'!$D$8:$D$42,ROW('03.Muestra'!$F$8:$F$42)-MIN(ROW('03.Muestra'!$D$8:$D$42))+1,""),ROW()-170)),"")</f>
        <v>https://www.comunidad.madrid/hospital/santacristina/profesionales/servicios-quirurgicos-0</v>
      </c>
      <c r="D181" s="99" t="s">
        <v>104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INVESTIGACIÓN</v>
      </c>
      <c r="C182" s="85" t="str" cm="1">
        <f t="array" ref="C182">IFERROR(INDEX('03.Muestra'!$F$8:$F$42,SMALL(IF("Página Web"='03.Muestra'!$D$8:$D$42,ROW('03.Muestra'!$F$8:$F$42)-MIN(ROW('03.Muestra'!$D$8:$D$42))+1,""),ROW()-170)),"")</f>
        <v>https://www.comunidad.madrid/hospital/santacristina/profesionales/investigacion-0</v>
      </c>
      <c r="D182" s="99" t="s">
        <v>104</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NOTICIAS</v>
      </c>
      <c r="C183" s="85" t="str" cm="1">
        <f t="array" ref="C183">IFERROR(INDEX('03.Muestra'!$F$8:$F$42,SMALL(IF("Página Web"='03.Muestra'!$D$8:$D$42,ROW('03.Muestra'!$F$8:$F$42)-MIN(ROW('03.Muestra'!$D$8:$D$42))+1,""),ROW()-170)),"")</f>
        <v>https://www.comunidad.madrid/hospital/santacristina/comunicacion/noticias</v>
      </c>
      <c r="D183" s="99" t="s">
        <v>104</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ACTOS DEL CENTENARIO</v>
      </c>
      <c r="C184" s="85" t="str" cm="1">
        <f t="array" ref="C184">IFERROR(INDEX('03.Muestra'!$F$8:$F$42,SMALL(IF("Página Web"='03.Muestra'!$D$8:$D$42,ROW('03.Muestra'!$F$8:$F$42)-MIN(ROW('03.Muestra'!$D$8:$D$42))+1,""),ROW()-170)),"")</f>
        <v>https://www.comunidad.madrid/hospital/santacristina/nosotros/actos-centenario</v>
      </c>
      <c r="D184" s="99" t="s">
        <v>104</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ACCESIBILIDAD HOSPITAL</v>
      </c>
      <c r="C185" s="85" t="str" cm="1">
        <f t="array" ref="C185">IFERROR(INDEX('03.Muestra'!$F$8:$F$42,SMALL(IF("Página Web"='03.Muestra'!$D$8:$D$42,ROW('03.Muestra'!$F$8:$F$42)-MIN(ROW('03.Muestra'!$D$8:$D$42))+1,""),ROW()-170)),"")</f>
        <v>https://www.comunidad.madrid/hospital/santacristina/nosotros/accesibilidad-hospital</v>
      </c>
      <c r="D185" s="99" t="s">
        <v>104</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CARTERA DE SERVICIOS</v>
      </c>
      <c r="C186" s="85" t="str" cm="1">
        <f t="array" ref="C186">IFERROR(INDEX('03.Muestra'!$F$8:$F$42,SMALL(IF("Página Web"='03.Muestra'!$D$8:$D$42,ROW('03.Muestra'!$F$8:$F$42)-MIN(ROW('03.Muestra'!$D$8:$D$42))+1,""),ROW()-170)),"")</f>
        <v>https://www.comunidad.madrid/hospital/santacristina/nosotros/cartera-servicios</v>
      </c>
      <c r="D186" s="99" t="s">
        <v>104</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CONTACTO</v>
      </c>
      <c r="C187" s="85" t="str" cm="1">
        <f t="array" ref="C187">IFERROR(INDEX('03.Muestra'!$F$8:$F$42,SMALL(IF("Página Web"='03.Muestra'!$D$8:$D$42,ROW('03.Muestra'!$F$8:$F$42)-MIN(ROW('03.Muestra'!$D$8:$D$42))+1,""),ROW()-170)),"")</f>
        <v>https://www.comunidad.madrid/hospital/santacristina/comunicacion/contacto</v>
      </c>
      <c r="D187" s="99" t="s">
        <v>104</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https://www.comunidad.madrid/hospital/santacristina/declaracion-accesibilidad</v>
      </c>
      <c r="D188" s="99" t="s">
        <v>104</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LEGAL</v>
      </c>
      <c r="C189" s="85" t="str" cm="1">
        <f t="array" ref="C189">IFERROR(INDEX('03.Muestra'!$F$8:$F$42,SMALL(IF("Página Web"='03.Muestra'!$D$8:$D$42,ROW('03.Muestra'!$F$8:$F$42)-MIN(ROW('03.Muestra'!$D$8:$D$42))+1,""),ROW()-170)),"")</f>
        <v>https://www.comunidad.madrid/hospital/santacristina/ciudadanos/aviso-legal-privacidad</v>
      </c>
      <c r="D189" s="99" t="s">
        <v>104</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MAPA WEB</v>
      </c>
      <c r="C190" s="85" t="str" cm="1">
        <f t="array" ref="C190">IFERROR(INDEX('03.Muestra'!$F$8:$F$42,SMALL(IF("Página Web"='03.Muestra'!$D$8:$D$42,ROW('03.Muestra'!$F$8:$F$42)-MIN(ROW('03.Muestra'!$D$8:$D$42))+1,""),ROW()-170)),"")</f>
        <v>https://www.comunidad.madrid/hospital/santacristina/sitemap</v>
      </c>
      <c r="D190" s="99" t="s">
        <v>104</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https://www.comunidad.madrid/hospital/santacristina/</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https://www.comunidad.madrid/hospital/santacristina/ciudadanos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https://www.comunidad.madrid/hospital/santacristina/profesionales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https://www.comunidad.madrid/hospital/santacristina/comunicacion</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https://www.comunidad.madrid/hospital/santacristina/nosotros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https://www.comunidad.madrid/hospital/santacristina/buscar?search_api_fulltext=&amp;nombre=</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ATENCIÓN AL PACIENTE</v>
      </c>
      <c r="C215" s="85" t="str" cm="1">
        <f t="array" ref="C215">IFERROR(INDEX('03.Muestra'!$F$8:$F$42,SMALL(IF("Página Web"='03.Muestra'!$D$8:$D$42,ROW('03.Muestra'!$F$8:$F$42)-MIN(ROW('03.Muestra'!$D$8:$D$42))+1,""),ROW()-208)),"")</f>
        <v>https://www.comunidad.madrid/hospital/santacristina/ciudadanos/atencion-paciente</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ATENCIÓN ESPIRITUAL</v>
      </c>
      <c r="C216" s="85" t="str" cm="1">
        <f t="array" ref="C216">IFERROR(INDEX('03.Muestra'!$F$8:$F$42,SMALL(IF("Página Web"='03.Muestra'!$D$8:$D$42,ROW('03.Muestra'!$F$8:$F$42)-MIN(ROW('03.Muestra'!$D$8:$D$42))+1,""),ROW()-208)),"")</f>
        <v>https://www.comunidad.madrid/hospital/santacristina/ciudadanos/atencion-espiritual-religiosa</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LOCALIZACIÓN Y ACCESO</v>
      </c>
      <c r="C217" s="85" t="str" cm="1">
        <f t="array" ref="C217">IFERROR(INDEX('03.Muestra'!$F$8:$F$42,SMALL(IF("Página Web"='03.Muestra'!$D$8:$D$42,ROW('03.Muestra'!$F$8:$F$42)-MIN(ROW('03.Muestra'!$D$8:$D$42))+1,""),ROW()-208)),"")</f>
        <v>https://www.comunidad.madrid/hospital/santacristina/ciudadanos/localizacion-acceso</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GUÍAS DE USUARIO</v>
      </c>
      <c r="C218" s="85" t="str" cm="1">
        <f t="array" ref="C218">IFERROR(INDEX('03.Muestra'!$F$8:$F$42,SMALL(IF("Página Web"='03.Muestra'!$D$8:$D$42,ROW('03.Muestra'!$F$8:$F$42)-MIN(ROW('03.Muestra'!$D$8:$D$42))+1,""),ROW()-208)),"")</f>
        <v>https://www.comunidad.madrid/hospital/santacristina/ciudadanos/guias-usuario</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SERVICIOS QUIRÚRGICOS</v>
      </c>
      <c r="C219" s="85" t="str" cm="1">
        <f t="array" ref="C219">IFERROR(INDEX('03.Muestra'!$F$8:$F$42,SMALL(IF("Página Web"='03.Muestra'!$D$8:$D$42,ROW('03.Muestra'!$F$8:$F$42)-MIN(ROW('03.Muestra'!$D$8:$D$42))+1,""),ROW()-208)),"")</f>
        <v>https://www.comunidad.madrid/hospital/santacristina/profesionales/servicios-quirurgicos-0</v>
      </c>
      <c r="D219" s="99" t="s">
        <v>104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INVESTIGACIÓN</v>
      </c>
      <c r="C220" s="85" t="str" cm="1">
        <f t="array" ref="C220">IFERROR(INDEX('03.Muestra'!$F$8:$F$42,SMALL(IF("Página Web"='03.Muestra'!$D$8:$D$42,ROW('03.Muestra'!$F$8:$F$42)-MIN(ROW('03.Muestra'!$D$8:$D$42))+1,""),ROW()-208)),"")</f>
        <v>https://www.comunidad.madrid/hospital/santacristina/profesionales/investigacion-0</v>
      </c>
      <c r="D220" s="99" t="s">
        <v>104</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NOTICIAS</v>
      </c>
      <c r="C221" s="85" t="str" cm="1">
        <f t="array" ref="C221">IFERROR(INDEX('03.Muestra'!$F$8:$F$42,SMALL(IF("Página Web"='03.Muestra'!$D$8:$D$42,ROW('03.Muestra'!$F$8:$F$42)-MIN(ROW('03.Muestra'!$D$8:$D$42))+1,""),ROW()-208)),"")</f>
        <v>https://www.comunidad.madrid/hospital/santacristina/comunicacion/noticias</v>
      </c>
      <c r="D221" s="99" t="s">
        <v>104</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ACTOS DEL CENTENARIO</v>
      </c>
      <c r="C222" s="85" t="str" cm="1">
        <f t="array" ref="C222">IFERROR(INDEX('03.Muestra'!$F$8:$F$42,SMALL(IF("Página Web"='03.Muestra'!$D$8:$D$42,ROW('03.Muestra'!$F$8:$F$42)-MIN(ROW('03.Muestra'!$D$8:$D$42))+1,""),ROW()-208)),"")</f>
        <v>https://www.comunidad.madrid/hospital/santacristina/nosotros/actos-centenario</v>
      </c>
      <c r="D222" s="99" t="s">
        <v>104</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ACCESIBILIDAD HOSPITAL</v>
      </c>
      <c r="C223" s="85" t="str" cm="1">
        <f t="array" ref="C223">IFERROR(INDEX('03.Muestra'!$F$8:$F$42,SMALL(IF("Página Web"='03.Muestra'!$D$8:$D$42,ROW('03.Muestra'!$F$8:$F$42)-MIN(ROW('03.Muestra'!$D$8:$D$42))+1,""),ROW()-208)),"")</f>
        <v>https://www.comunidad.madrid/hospital/santacristina/nosotros/accesibilidad-hospital</v>
      </c>
      <c r="D223" s="99" t="s">
        <v>104</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CARTERA DE SERVICIOS</v>
      </c>
      <c r="C224" s="85" t="str" cm="1">
        <f t="array" ref="C224">IFERROR(INDEX('03.Muestra'!$F$8:$F$42,SMALL(IF("Página Web"='03.Muestra'!$D$8:$D$42,ROW('03.Muestra'!$F$8:$F$42)-MIN(ROW('03.Muestra'!$D$8:$D$42))+1,""),ROW()-208)),"")</f>
        <v>https://www.comunidad.madrid/hospital/santacristina/nosotros/cartera-servicios</v>
      </c>
      <c r="D224" s="99" t="s">
        <v>104</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CONTACTO</v>
      </c>
      <c r="C225" s="85" t="str" cm="1">
        <f t="array" ref="C225">IFERROR(INDEX('03.Muestra'!$F$8:$F$42,SMALL(IF("Página Web"='03.Muestra'!$D$8:$D$42,ROW('03.Muestra'!$F$8:$F$42)-MIN(ROW('03.Muestra'!$D$8:$D$42))+1,""),ROW()-208)),"")</f>
        <v>https://www.comunidad.madrid/hospital/santacristina/comunicacion/contacto</v>
      </c>
      <c r="D225" s="99" t="s">
        <v>104</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https://www.comunidad.madrid/hospital/santacristina/declaracion-accesibilidad</v>
      </c>
      <c r="D226" s="99" t="s">
        <v>104</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LEGAL</v>
      </c>
      <c r="C227" s="85" t="str" cm="1">
        <f t="array" ref="C227">IFERROR(INDEX('03.Muestra'!$F$8:$F$42,SMALL(IF("Página Web"='03.Muestra'!$D$8:$D$42,ROW('03.Muestra'!$F$8:$F$42)-MIN(ROW('03.Muestra'!$D$8:$D$42))+1,""),ROW()-208)),"")</f>
        <v>https://www.comunidad.madrid/hospital/santacristina/ciudadanos/aviso-legal-privacidad</v>
      </c>
      <c r="D227" s="99" t="s">
        <v>104</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MAPA WEB</v>
      </c>
      <c r="C228" s="85" t="str" cm="1">
        <f t="array" ref="C228">IFERROR(INDEX('03.Muestra'!$F$8:$F$42,SMALL(IF("Página Web"='03.Muestra'!$D$8:$D$42,ROW('03.Muestra'!$F$8:$F$42)-MIN(ROW('03.Muestra'!$D$8:$D$42))+1,""),ROW()-208)),"")</f>
        <v>https://www.comunidad.madrid/hospital/santacristina/sitemap</v>
      </c>
      <c r="D228" s="99" t="s">
        <v>104</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https://www.comunidad.madrid/hospital/santacristina/</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https://www.comunidad.madrid/hospital/santacristina/ciudadanos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https://www.comunidad.madrid/hospital/santacristina/profesionales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https://www.comunidad.madrid/hospital/santacristina/comunicacion</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https://www.comunidad.madrid/hospital/santacristina/nosotros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https://www.comunidad.madrid/hospital/santacristina/buscar?search_api_fulltext=&amp;nombre=</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ATENCIÓN AL PACIENTE</v>
      </c>
      <c r="C253" s="85" t="str" cm="1">
        <f t="array" ref="C253">IFERROR(INDEX('03.Muestra'!$F$8:$F$42,SMALL(IF("Página Web"='03.Muestra'!$D$8:$D$42,ROW('03.Muestra'!$F$8:$F$42)-MIN(ROW('03.Muestra'!$D$8:$D$42))+1,""),ROW()-246)),"")</f>
        <v>https://www.comunidad.madrid/hospital/santacristina/ciudadanos/atencion-paciente</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ATENCIÓN ESPIRITUAL</v>
      </c>
      <c r="C254" s="85" t="str" cm="1">
        <f t="array" ref="C254">IFERROR(INDEX('03.Muestra'!$F$8:$F$42,SMALL(IF("Página Web"='03.Muestra'!$D$8:$D$42,ROW('03.Muestra'!$F$8:$F$42)-MIN(ROW('03.Muestra'!$D$8:$D$42))+1,""),ROW()-246)),"")</f>
        <v>https://www.comunidad.madrid/hospital/santacristina/ciudadanos/atencion-espiritual-religiosa</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LOCALIZACIÓN Y ACCESO</v>
      </c>
      <c r="C255" s="85" t="str" cm="1">
        <f t="array" ref="C255">IFERROR(INDEX('03.Muestra'!$F$8:$F$42,SMALL(IF("Página Web"='03.Muestra'!$D$8:$D$42,ROW('03.Muestra'!$F$8:$F$42)-MIN(ROW('03.Muestra'!$D$8:$D$42))+1,""),ROW()-246)),"")</f>
        <v>https://www.comunidad.madrid/hospital/santacristina/ciudadanos/localizacion-acceso</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GUÍAS DE USUARIO</v>
      </c>
      <c r="C256" s="85" t="str" cm="1">
        <f t="array" ref="C256">IFERROR(INDEX('03.Muestra'!$F$8:$F$42,SMALL(IF("Página Web"='03.Muestra'!$D$8:$D$42,ROW('03.Muestra'!$F$8:$F$42)-MIN(ROW('03.Muestra'!$D$8:$D$42))+1,""),ROW()-246)),"")</f>
        <v>https://www.comunidad.madrid/hospital/santacristina/ciudadanos/guias-usuario</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SERVICIOS QUIRÚRGICOS</v>
      </c>
      <c r="C257" s="85" t="str" cm="1">
        <f t="array" ref="C257">IFERROR(INDEX('03.Muestra'!$F$8:$F$42,SMALL(IF("Página Web"='03.Muestra'!$D$8:$D$42,ROW('03.Muestra'!$F$8:$F$42)-MIN(ROW('03.Muestra'!$D$8:$D$42))+1,""),ROW()-246)),"")</f>
        <v>https://www.comunidad.madrid/hospital/santacristina/profesionales/servicios-quirurgicos-0</v>
      </c>
      <c r="D257" s="99" t="s">
        <v>104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INVESTIGACIÓN</v>
      </c>
      <c r="C258" s="85" t="str" cm="1">
        <f t="array" ref="C258">IFERROR(INDEX('03.Muestra'!$F$8:$F$42,SMALL(IF("Página Web"='03.Muestra'!$D$8:$D$42,ROW('03.Muestra'!$F$8:$F$42)-MIN(ROW('03.Muestra'!$D$8:$D$42))+1,""),ROW()-246)),"")</f>
        <v>https://www.comunidad.madrid/hospital/santacristina/profesionales/investigacion-0</v>
      </c>
      <c r="D258" s="99" t="s">
        <v>104</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NOTICIAS</v>
      </c>
      <c r="C259" s="85" t="str" cm="1">
        <f t="array" ref="C259">IFERROR(INDEX('03.Muestra'!$F$8:$F$42,SMALL(IF("Página Web"='03.Muestra'!$D$8:$D$42,ROW('03.Muestra'!$F$8:$F$42)-MIN(ROW('03.Muestra'!$D$8:$D$42))+1,""),ROW()-246)),"")</f>
        <v>https://www.comunidad.madrid/hospital/santacristina/comunicacion/noticias</v>
      </c>
      <c r="D259" s="99" t="s">
        <v>104</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ACTOS DEL CENTENARIO</v>
      </c>
      <c r="C260" s="85" t="str" cm="1">
        <f t="array" ref="C260">IFERROR(INDEX('03.Muestra'!$F$8:$F$42,SMALL(IF("Página Web"='03.Muestra'!$D$8:$D$42,ROW('03.Muestra'!$F$8:$F$42)-MIN(ROW('03.Muestra'!$D$8:$D$42))+1,""),ROW()-246)),"")</f>
        <v>https://www.comunidad.madrid/hospital/santacristina/nosotros/actos-centenario</v>
      </c>
      <c r="D260" s="99" t="s">
        <v>104</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ACCESIBILIDAD HOSPITAL</v>
      </c>
      <c r="C261" s="85" t="str" cm="1">
        <f t="array" ref="C261">IFERROR(INDEX('03.Muestra'!$F$8:$F$42,SMALL(IF("Página Web"='03.Muestra'!$D$8:$D$42,ROW('03.Muestra'!$F$8:$F$42)-MIN(ROW('03.Muestra'!$D$8:$D$42))+1,""),ROW()-246)),"")</f>
        <v>https://www.comunidad.madrid/hospital/santacristina/nosotros/accesibilidad-hospital</v>
      </c>
      <c r="D261" s="99" t="s">
        <v>104</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CARTERA DE SERVICIOS</v>
      </c>
      <c r="C262" s="85" t="str" cm="1">
        <f t="array" ref="C262">IFERROR(INDEX('03.Muestra'!$F$8:$F$42,SMALL(IF("Página Web"='03.Muestra'!$D$8:$D$42,ROW('03.Muestra'!$F$8:$F$42)-MIN(ROW('03.Muestra'!$D$8:$D$42))+1,""),ROW()-246)),"")</f>
        <v>https://www.comunidad.madrid/hospital/santacristina/nosotros/cartera-servicios</v>
      </c>
      <c r="D262" s="99" t="s">
        <v>104</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CONTACTO</v>
      </c>
      <c r="C263" s="85" t="str" cm="1">
        <f t="array" ref="C263">IFERROR(INDEX('03.Muestra'!$F$8:$F$42,SMALL(IF("Página Web"='03.Muestra'!$D$8:$D$42,ROW('03.Muestra'!$F$8:$F$42)-MIN(ROW('03.Muestra'!$D$8:$D$42))+1,""),ROW()-246)),"")</f>
        <v>https://www.comunidad.madrid/hospital/santacristina/comunicacion/contacto</v>
      </c>
      <c r="D263" s="99" t="s">
        <v>104</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ACCESIBILIDAD</v>
      </c>
      <c r="C264" s="85" t="str" cm="1">
        <f t="array" ref="C264">IFERROR(INDEX('03.Muestra'!$F$8:$F$42,SMALL(IF("Página Web"='03.Muestra'!$D$8:$D$42,ROW('03.Muestra'!$F$8:$F$42)-MIN(ROW('03.Muestra'!$D$8:$D$42))+1,""),ROW()-246)),"")</f>
        <v>https://www.comunidad.madrid/hospital/santacristina/declaracion-accesibilidad</v>
      </c>
      <c r="D264" s="99" t="s">
        <v>104</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LEGAL</v>
      </c>
      <c r="C265" s="85" t="str" cm="1">
        <f t="array" ref="C265">IFERROR(INDEX('03.Muestra'!$F$8:$F$42,SMALL(IF("Página Web"='03.Muestra'!$D$8:$D$42,ROW('03.Muestra'!$F$8:$F$42)-MIN(ROW('03.Muestra'!$D$8:$D$42))+1,""),ROW()-246)),"")</f>
        <v>https://www.comunidad.madrid/hospital/santacristina/ciudadanos/aviso-legal-privacidad</v>
      </c>
      <c r="D265" s="99" t="s">
        <v>104</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MAPA WEB</v>
      </c>
      <c r="C266" s="85" t="str" cm="1">
        <f t="array" ref="C266">IFERROR(INDEX('03.Muestra'!$F$8:$F$42,SMALL(IF("Página Web"='03.Muestra'!$D$8:$D$42,ROW('03.Muestra'!$F$8:$F$42)-MIN(ROW('03.Muestra'!$D$8:$D$42))+1,""),ROW()-246)),"")</f>
        <v>https://www.comunidad.madrid/hospital/santacristina/sitemap</v>
      </c>
      <c r="D266" s="99" t="s">
        <v>104</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https://www.comunidad.madrid/hospital/santacristina/</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https://www.comunidad.madrid/hospital/santacristina/ciudadanos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https://www.comunidad.madrid/hospital/santacristina/profesionales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https://www.comunidad.madrid/hospital/santacristina/comunicacion</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https://www.comunidad.madrid/hospital/santacristina/nosotros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https://www.comunidad.madrid/hospital/santacristina/buscar?search_api_fulltext=&amp;nombre=</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ATENCIÓN AL PACIENTE</v>
      </c>
      <c r="C291" s="85" t="str" cm="1">
        <f t="array" ref="C291">IFERROR(INDEX('03.Muestra'!$F$8:$F$42,SMALL(IF("Página Web"='03.Muestra'!$D$8:$D$42,ROW('03.Muestra'!$F$8:$F$42)-MIN(ROW('03.Muestra'!$D$8:$D$42))+1,""),ROW()-284)),"")</f>
        <v>https://www.comunidad.madrid/hospital/santacristina/ciudadanos/atencion-paciente</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ATENCIÓN ESPIRITUAL</v>
      </c>
      <c r="C292" s="85" t="str" cm="1">
        <f t="array" ref="C292">IFERROR(INDEX('03.Muestra'!$F$8:$F$42,SMALL(IF("Página Web"='03.Muestra'!$D$8:$D$42,ROW('03.Muestra'!$F$8:$F$42)-MIN(ROW('03.Muestra'!$D$8:$D$42))+1,""),ROW()-284)),"")</f>
        <v>https://www.comunidad.madrid/hospital/santacristina/ciudadanos/atencion-espiritual-religiosa</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LOCALIZACIÓN Y ACCESO</v>
      </c>
      <c r="C293" s="85" t="str" cm="1">
        <f t="array" ref="C293">IFERROR(INDEX('03.Muestra'!$F$8:$F$42,SMALL(IF("Página Web"='03.Muestra'!$D$8:$D$42,ROW('03.Muestra'!$F$8:$F$42)-MIN(ROW('03.Muestra'!$D$8:$D$42))+1,""),ROW()-284)),"")</f>
        <v>https://www.comunidad.madrid/hospital/santacristina/ciudadanos/localizacion-acceso</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GUÍAS DE USUARIO</v>
      </c>
      <c r="C294" s="85" t="str" cm="1">
        <f t="array" ref="C294">IFERROR(INDEX('03.Muestra'!$F$8:$F$42,SMALL(IF("Página Web"='03.Muestra'!$D$8:$D$42,ROW('03.Muestra'!$F$8:$F$42)-MIN(ROW('03.Muestra'!$D$8:$D$42))+1,""),ROW()-284)),"")</f>
        <v>https://www.comunidad.madrid/hospital/santacristina/ciudadanos/guias-usuario</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SERVICIOS QUIRÚRGICOS</v>
      </c>
      <c r="C295" s="85" t="str" cm="1">
        <f t="array" ref="C295">IFERROR(INDEX('03.Muestra'!$F$8:$F$42,SMALL(IF("Página Web"='03.Muestra'!$D$8:$D$42,ROW('03.Muestra'!$F$8:$F$42)-MIN(ROW('03.Muestra'!$D$8:$D$42))+1,""),ROW()-284)),"")</f>
        <v>https://www.comunidad.madrid/hospital/santacristina/profesionales/servicios-quirurgicos-0</v>
      </c>
      <c r="D295" s="99" t="s">
        <v>104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INVESTIGACIÓN</v>
      </c>
      <c r="C296" s="85" t="str" cm="1">
        <f t="array" ref="C296">IFERROR(INDEX('03.Muestra'!$F$8:$F$42,SMALL(IF("Página Web"='03.Muestra'!$D$8:$D$42,ROW('03.Muestra'!$F$8:$F$42)-MIN(ROW('03.Muestra'!$D$8:$D$42))+1,""),ROW()-284)),"")</f>
        <v>https://www.comunidad.madrid/hospital/santacristina/profesionales/investigacion-0</v>
      </c>
      <c r="D296" s="99" t="s">
        <v>104</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NOTICIAS</v>
      </c>
      <c r="C297" s="85" t="str" cm="1">
        <f t="array" ref="C297">IFERROR(INDEX('03.Muestra'!$F$8:$F$42,SMALL(IF("Página Web"='03.Muestra'!$D$8:$D$42,ROW('03.Muestra'!$F$8:$F$42)-MIN(ROW('03.Muestra'!$D$8:$D$42))+1,""),ROW()-284)),"")</f>
        <v>https://www.comunidad.madrid/hospital/santacristina/comunicacion/noticias</v>
      </c>
      <c r="D297" s="99" t="s">
        <v>104</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ACTOS DEL CENTENARIO</v>
      </c>
      <c r="C298" s="85" t="str" cm="1">
        <f t="array" ref="C298">IFERROR(INDEX('03.Muestra'!$F$8:$F$42,SMALL(IF("Página Web"='03.Muestra'!$D$8:$D$42,ROW('03.Muestra'!$F$8:$F$42)-MIN(ROW('03.Muestra'!$D$8:$D$42))+1,""),ROW()-284)),"")</f>
        <v>https://www.comunidad.madrid/hospital/santacristina/nosotros/actos-centenario</v>
      </c>
      <c r="D298" s="99" t="s">
        <v>104</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ACCESIBILIDAD HOSPITAL</v>
      </c>
      <c r="C299" s="85" t="str" cm="1">
        <f t="array" ref="C299">IFERROR(INDEX('03.Muestra'!$F$8:$F$42,SMALL(IF("Página Web"='03.Muestra'!$D$8:$D$42,ROW('03.Muestra'!$F$8:$F$42)-MIN(ROW('03.Muestra'!$D$8:$D$42))+1,""),ROW()-284)),"")</f>
        <v>https://www.comunidad.madrid/hospital/santacristina/nosotros/accesibilidad-hospital</v>
      </c>
      <c r="D299" s="99" t="s">
        <v>104</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CARTERA DE SERVICIOS</v>
      </c>
      <c r="C300" s="85" t="str" cm="1">
        <f t="array" ref="C300">IFERROR(INDEX('03.Muestra'!$F$8:$F$42,SMALL(IF("Página Web"='03.Muestra'!$D$8:$D$42,ROW('03.Muestra'!$F$8:$F$42)-MIN(ROW('03.Muestra'!$D$8:$D$42))+1,""),ROW()-284)),"")</f>
        <v>https://www.comunidad.madrid/hospital/santacristina/nosotros/cartera-servicios</v>
      </c>
      <c r="D300" s="99" t="s">
        <v>104</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CONTACTO</v>
      </c>
      <c r="C301" s="85" t="str" cm="1">
        <f t="array" ref="C301">IFERROR(INDEX('03.Muestra'!$F$8:$F$42,SMALL(IF("Página Web"='03.Muestra'!$D$8:$D$42,ROW('03.Muestra'!$F$8:$F$42)-MIN(ROW('03.Muestra'!$D$8:$D$42))+1,""),ROW()-284)),"")</f>
        <v>https://www.comunidad.madrid/hospital/santacristina/comunicacion/contacto</v>
      </c>
      <c r="D301" s="99" t="s">
        <v>104</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ACCESIBILIDAD</v>
      </c>
      <c r="C302" s="85" t="str" cm="1">
        <f t="array" ref="C302">IFERROR(INDEX('03.Muestra'!$F$8:$F$42,SMALL(IF("Página Web"='03.Muestra'!$D$8:$D$42,ROW('03.Muestra'!$F$8:$F$42)-MIN(ROW('03.Muestra'!$D$8:$D$42))+1,""),ROW()-284)),"")</f>
        <v>https://www.comunidad.madrid/hospital/santacristina/declaracion-accesibilidad</v>
      </c>
      <c r="D302" s="99" t="s">
        <v>104</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LEGAL</v>
      </c>
      <c r="C303" s="85" t="str" cm="1">
        <f t="array" ref="C303">IFERROR(INDEX('03.Muestra'!$F$8:$F$42,SMALL(IF("Página Web"='03.Muestra'!$D$8:$D$42,ROW('03.Muestra'!$F$8:$F$42)-MIN(ROW('03.Muestra'!$D$8:$D$42))+1,""),ROW()-284)),"")</f>
        <v>https://www.comunidad.madrid/hospital/santacristina/ciudadanos/aviso-legal-privacidad</v>
      </c>
      <c r="D303" s="99" t="s">
        <v>104</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MAPA WEB</v>
      </c>
      <c r="C304" s="85" t="str" cm="1">
        <f t="array" ref="C304">IFERROR(INDEX('03.Muestra'!$F$8:$F$42,SMALL(IF("Página Web"='03.Muestra'!$D$8:$D$42,ROW('03.Muestra'!$F$8:$F$42)-MIN(ROW('03.Muestra'!$D$8:$D$42))+1,""),ROW()-284)),"")</f>
        <v>https://www.comunidad.madrid/hospital/santacristina/sitemap</v>
      </c>
      <c r="D304" s="99" t="s">
        <v>104</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https://www.comunidad.madrid/hospital/santacristina/</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https://www.comunidad.madrid/hospital/santacristina/ciudadanos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https://www.comunidad.madrid/hospital/santacristina/profesionales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https://www.comunidad.madrid/hospital/santacristina/comunicacion</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https://www.comunidad.madrid/hospital/santacristina/nosotros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https://www.comunidad.madrid/hospital/santacristina/buscar?search_api_fulltext=&amp;nombre=</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ATENCIÓN AL PACIENTE</v>
      </c>
      <c r="C329" s="85" t="str" cm="1">
        <f t="array" ref="C329">IFERROR(INDEX('03.Muestra'!$F$8:$F$42,SMALL(IF("Página Web"='03.Muestra'!$D$8:$D$42,ROW('03.Muestra'!$F$8:$F$42)-MIN(ROW('03.Muestra'!$D$8:$D$42))+1,""),ROW()-322)),"")</f>
        <v>https://www.comunidad.madrid/hospital/santacristina/ciudadanos/atencion-paciente</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ATENCIÓN ESPIRITUAL</v>
      </c>
      <c r="C330" s="85" t="str" cm="1">
        <f t="array" ref="C330">IFERROR(INDEX('03.Muestra'!$F$8:$F$42,SMALL(IF("Página Web"='03.Muestra'!$D$8:$D$42,ROW('03.Muestra'!$F$8:$F$42)-MIN(ROW('03.Muestra'!$D$8:$D$42))+1,""),ROW()-322)),"")</f>
        <v>https://www.comunidad.madrid/hospital/santacristina/ciudadanos/atencion-espiritual-religiosa</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LOCALIZACIÓN Y ACCESO</v>
      </c>
      <c r="C331" s="85" t="str" cm="1">
        <f t="array" ref="C331">IFERROR(INDEX('03.Muestra'!$F$8:$F$42,SMALL(IF("Página Web"='03.Muestra'!$D$8:$D$42,ROW('03.Muestra'!$F$8:$F$42)-MIN(ROW('03.Muestra'!$D$8:$D$42))+1,""),ROW()-322)),"")</f>
        <v>https://www.comunidad.madrid/hospital/santacristina/ciudadanos/localizacion-acceso</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GUÍAS DE USUARIO</v>
      </c>
      <c r="C332" s="85" t="str" cm="1">
        <f t="array" ref="C332">IFERROR(INDEX('03.Muestra'!$F$8:$F$42,SMALL(IF("Página Web"='03.Muestra'!$D$8:$D$42,ROW('03.Muestra'!$F$8:$F$42)-MIN(ROW('03.Muestra'!$D$8:$D$42))+1,""),ROW()-322)),"")</f>
        <v>https://www.comunidad.madrid/hospital/santacristina/ciudadanos/guias-usuario</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SERVICIOS QUIRÚRGICOS</v>
      </c>
      <c r="C333" s="85" t="str" cm="1">
        <f t="array" ref="C333">IFERROR(INDEX('03.Muestra'!$F$8:$F$42,SMALL(IF("Página Web"='03.Muestra'!$D$8:$D$42,ROW('03.Muestra'!$F$8:$F$42)-MIN(ROW('03.Muestra'!$D$8:$D$42))+1,""),ROW()-322)),"")</f>
        <v>https://www.comunidad.madrid/hospital/santacristina/profesionales/servicios-quirurgicos-0</v>
      </c>
      <c r="D333" s="99" t="s">
        <v>104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INVESTIGACIÓN</v>
      </c>
      <c r="C334" s="85" t="str" cm="1">
        <f t="array" ref="C334">IFERROR(INDEX('03.Muestra'!$F$8:$F$42,SMALL(IF("Página Web"='03.Muestra'!$D$8:$D$42,ROW('03.Muestra'!$F$8:$F$42)-MIN(ROW('03.Muestra'!$D$8:$D$42))+1,""),ROW()-322)),"")</f>
        <v>https://www.comunidad.madrid/hospital/santacristina/profesionales/investigacion-0</v>
      </c>
      <c r="D334" s="99" t="s">
        <v>104</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NOTICIAS</v>
      </c>
      <c r="C335" s="85" t="str" cm="1">
        <f t="array" ref="C335">IFERROR(INDEX('03.Muestra'!$F$8:$F$42,SMALL(IF("Página Web"='03.Muestra'!$D$8:$D$42,ROW('03.Muestra'!$F$8:$F$42)-MIN(ROW('03.Muestra'!$D$8:$D$42))+1,""),ROW()-322)),"")</f>
        <v>https://www.comunidad.madrid/hospital/santacristina/comunicacion/noticias</v>
      </c>
      <c r="D335" s="99" t="s">
        <v>104</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ACTOS DEL CENTENARIO</v>
      </c>
      <c r="C336" s="85" t="str" cm="1">
        <f t="array" ref="C336">IFERROR(INDEX('03.Muestra'!$F$8:$F$42,SMALL(IF("Página Web"='03.Muestra'!$D$8:$D$42,ROW('03.Muestra'!$F$8:$F$42)-MIN(ROW('03.Muestra'!$D$8:$D$42))+1,""),ROW()-322)),"")</f>
        <v>https://www.comunidad.madrid/hospital/santacristina/nosotros/actos-centenario</v>
      </c>
      <c r="D336" s="99" t="s">
        <v>104</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ACCESIBILIDAD HOSPITAL</v>
      </c>
      <c r="C337" s="85" t="str" cm="1">
        <f t="array" ref="C337">IFERROR(INDEX('03.Muestra'!$F$8:$F$42,SMALL(IF("Página Web"='03.Muestra'!$D$8:$D$42,ROW('03.Muestra'!$F$8:$F$42)-MIN(ROW('03.Muestra'!$D$8:$D$42))+1,""),ROW()-322)),"")</f>
        <v>https://www.comunidad.madrid/hospital/santacristina/nosotros/accesibilidad-hospital</v>
      </c>
      <c r="D337" s="99" t="s">
        <v>104</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CARTERA DE SERVICIOS</v>
      </c>
      <c r="C338" s="85" t="str" cm="1">
        <f t="array" ref="C338">IFERROR(INDEX('03.Muestra'!$F$8:$F$42,SMALL(IF("Página Web"='03.Muestra'!$D$8:$D$42,ROW('03.Muestra'!$F$8:$F$42)-MIN(ROW('03.Muestra'!$D$8:$D$42))+1,""),ROW()-322)),"")</f>
        <v>https://www.comunidad.madrid/hospital/santacristina/nosotros/cartera-servicios</v>
      </c>
      <c r="D338" s="99" t="s">
        <v>104</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CONTACTO</v>
      </c>
      <c r="C339" s="85" t="str" cm="1">
        <f t="array" ref="C339">IFERROR(INDEX('03.Muestra'!$F$8:$F$42,SMALL(IF("Página Web"='03.Muestra'!$D$8:$D$42,ROW('03.Muestra'!$F$8:$F$42)-MIN(ROW('03.Muestra'!$D$8:$D$42))+1,""),ROW()-322)),"")</f>
        <v>https://www.comunidad.madrid/hospital/santacristina/comunicacion/contacto</v>
      </c>
      <c r="D339" s="99" t="s">
        <v>104</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ACCESIBILIDAD</v>
      </c>
      <c r="C340" s="85" t="str" cm="1">
        <f t="array" ref="C340">IFERROR(INDEX('03.Muestra'!$F$8:$F$42,SMALL(IF("Página Web"='03.Muestra'!$D$8:$D$42,ROW('03.Muestra'!$F$8:$F$42)-MIN(ROW('03.Muestra'!$D$8:$D$42))+1,""),ROW()-322)),"")</f>
        <v>https://www.comunidad.madrid/hospital/santacristina/declaracion-accesibilidad</v>
      </c>
      <c r="D340" s="99" t="s">
        <v>104</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LEGAL</v>
      </c>
      <c r="C341" s="85" t="str" cm="1">
        <f t="array" ref="C341">IFERROR(INDEX('03.Muestra'!$F$8:$F$42,SMALL(IF("Página Web"='03.Muestra'!$D$8:$D$42,ROW('03.Muestra'!$F$8:$F$42)-MIN(ROW('03.Muestra'!$D$8:$D$42))+1,""),ROW()-322)),"")</f>
        <v>https://www.comunidad.madrid/hospital/santacristina/ciudadanos/aviso-legal-privacidad</v>
      </c>
      <c r="D341" s="99" t="s">
        <v>104</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MAPA WEB</v>
      </c>
      <c r="C342" s="85" t="str" cm="1">
        <f t="array" ref="C342">IFERROR(INDEX('03.Muestra'!$F$8:$F$42,SMALL(IF("Página Web"='03.Muestra'!$D$8:$D$42,ROW('03.Muestra'!$F$8:$F$42)-MIN(ROW('03.Muestra'!$D$8:$D$42))+1,""),ROW()-322)),"")</f>
        <v>https://www.comunidad.madrid/hospital/santacristina/sitemap</v>
      </c>
      <c r="D342" s="99" t="s">
        <v>104</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https://www.comunidad.madrid/hospital/santacristina/</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https://www.comunidad.madrid/hospital/santacristina/ciudadanos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https://www.comunidad.madrid/hospital/santacristina/profesionales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https://www.comunidad.madrid/hospital/santacristina/comunicacion</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https://www.comunidad.madrid/hospital/santacristina/nosotros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https://www.comunidad.madrid/hospital/santacristina/buscar?search_api_fulltext=&amp;nombre=</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ATENCIÓN AL PACIENTE</v>
      </c>
      <c r="C367" s="85" t="str" cm="1">
        <f t="array" ref="C367">IFERROR(INDEX('03.Muestra'!$F$8:$F$42,SMALL(IF("Página Web"='03.Muestra'!$D$8:$D$42,ROW('03.Muestra'!$F$8:$F$42)-MIN(ROW('03.Muestra'!$D$8:$D$42))+1,""),ROW()-360)),"")</f>
        <v>https://www.comunidad.madrid/hospital/santacristina/ciudadanos/atencion-paciente</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ATENCIÓN ESPIRITUAL</v>
      </c>
      <c r="C368" s="85" t="str" cm="1">
        <f t="array" ref="C368">IFERROR(INDEX('03.Muestra'!$F$8:$F$42,SMALL(IF("Página Web"='03.Muestra'!$D$8:$D$42,ROW('03.Muestra'!$F$8:$F$42)-MIN(ROW('03.Muestra'!$D$8:$D$42))+1,""),ROW()-360)),"")</f>
        <v>https://www.comunidad.madrid/hospital/santacristina/ciudadanos/atencion-espiritual-religiosa</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LOCALIZACIÓN Y ACCESO</v>
      </c>
      <c r="C369" s="85" t="str" cm="1">
        <f t="array" ref="C369">IFERROR(INDEX('03.Muestra'!$F$8:$F$42,SMALL(IF("Página Web"='03.Muestra'!$D$8:$D$42,ROW('03.Muestra'!$F$8:$F$42)-MIN(ROW('03.Muestra'!$D$8:$D$42))+1,""),ROW()-360)),"")</f>
        <v>https://www.comunidad.madrid/hospital/santacristina/ciudadanos/localizacion-acceso</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GUÍAS DE USUARIO</v>
      </c>
      <c r="C370" s="85" t="str" cm="1">
        <f t="array" ref="C370">IFERROR(INDEX('03.Muestra'!$F$8:$F$42,SMALL(IF("Página Web"='03.Muestra'!$D$8:$D$42,ROW('03.Muestra'!$F$8:$F$42)-MIN(ROW('03.Muestra'!$D$8:$D$42))+1,""),ROW()-360)),"")</f>
        <v>https://www.comunidad.madrid/hospital/santacristina/ciudadanos/guias-usuario</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SERVICIOS QUIRÚRGICOS</v>
      </c>
      <c r="C371" s="85" t="str" cm="1">
        <f t="array" ref="C371">IFERROR(INDEX('03.Muestra'!$F$8:$F$42,SMALL(IF("Página Web"='03.Muestra'!$D$8:$D$42,ROW('03.Muestra'!$F$8:$F$42)-MIN(ROW('03.Muestra'!$D$8:$D$42))+1,""),ROW()-360)),"")</f>
        <v>https://www.comunidad.madrid/hospital/santacristina/profesionales/servicios-quirurgicos-0</v>
      </c>
      <c r="D371" s="99" t="s">
        <v>104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INVESTIGACIÓN</v>
      </c>
      <c r="C372" s="85" t="str" cm="1">
        <f t="array" ref="C372">IFERROR(INDEX('03.Muestra'!$F$8:$F$42,SMALL(IF("Página Web"='03.Muestra'!$D$8:$D$42,ROW('03.Muestra'!$F$8:$F$42)-MIN(ROW('03.Muestra'!$D$8:$D$42))+1,""),ROW()-360)),"")</f>
        <v>https://www.comunidad.madrid/hospital/santacristina/profesionales/investigacion-0</v>
      </c>
      <c r="D372" s="99" t="s">
        <v>104</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NOTICIAS</v>
      </c>
      <c r="C373" s="85" t="str" cm="1">
        <f t="array" ref="C373">IFERROR(INDEX('03.Muestra'!$F$8:$F$42,SMALL(IF("Página Web"='03.Muestra'!$D$8:$D$42,ROW('03.Muestra'!$F$8:$F$42)-MIN(ROW('03.Muestra'!$D$8:$D$42))+1,""),ROW()-360)),"")</f>
        <v>https://www.comunidad.madrid/hospital/santacristina/comunicacion/noticias</v>
      </c>
      <c r="D373" s="99" t="s">
        <v>104</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ACTOS DEL CENTENARIO</v>
      </c>
      <c r="C374" s="85" t="str" cm="1">
        <f t="array" ref="C374">IFERROR(INDEX('03.Muestra'!$F$8:$F$42,SMALL(IF("Página Web"='03.Muestra'!$D$8:$D$42,ROW('03.Muestra'!$F$8:$F$42)-MIN(ROW('03.Muestra'!$D$8:$D$42))+1,""),ROW()-360)),"")</f>
        <v>https://www.comunidad.madrid/hospital/santacristina/nosotros/actos-centenario</v>
      </c>
      <c r="D374" s="99" t="s">
        <v>104</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ACCESIBILIDAD HOSPITAL</v>
      </c>
      <c r="C375" s="85" t="str" cm="1">
        <f t="array" ref="C375">IFERROR(INDEX('03.Muestra'!$F$8:$F$42,SMALL(IF("Página Web"='03.Muestra'!$D$8:$D$42,ROW('03.Muestra'!$F$8:$F$42)-MIN(ROW('03.Muestra'!$D$8:$D$42))+1,""),ROW()-360)),"")</f>
        <v>https://www.comunidad.madrid/hospital/santacristina/nosotros/accesibilidad-hospital</v>
      </c>
      <c r="D375" s="99" t="s">
        <v>104</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CARTERA DE SERVICIOS</v>
      </c>
      <c r="C376" s="85" t="str" cm="1">
        <f t="array" ref="C376">IFERROR(INDEX('03.Muestra'!$F$8:$F$42,SMALL(IF("Página Web"='03.Muestra'!$D$8:$D$42,ROW('03.Muestra'!$F$8:$F$42)-MIN(ROW('03.Muestra'!$D$8:$D$42))+1,""),ROW()-360)),"")</f>
        <v>https://www.comunidad.madrid/hospital/santacristina/nosotros/cartera-servicios</v>
      </c>
      <c r="D376" s="99" t="s">
        <v>104</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CONTACTO</v>
      </c>
      <c r="C377" s="85" t="str" cm="1">
        <f t="array" ref="C377">IFERROR(INDEX('03.Muestra'!$F$8:$F$42,SMALL(IF("Página Web"='03.Muestra'!$D$8:$D$42,ROW('03.Muestra'!$F$8:$F$42)-MIN(ROW('03.Muestra'!$D$8:$D$42))+1,""),ROW()-360)),"")</f>
        <v>https://www.comunidad.madrid/hospital/santacristina/comunicacion/contacto</v>
      </c>
      <c r="D377" s="99" t="s">
        <v>104</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ACCESIBILIDAD</v>
      </c>
      <c r="C378" s="85" t="str" cm="1">
        <f t="array" ref="C378">IFERROR(INDEX('03.Muestra'!$F$8:$F$42,SMALL(IF("Página Web"='03.Muestra'!$D$8:$D$42,ROW('03.Muestra'!$F$8:$F$42)-MIN(ROW('03.Muestra'!$D$8:$D$42))+1,""),ROW()-360)),"")</f>
        <v>https://www.comunidad.madrid/hospital/santacristina/declaracion-accesibilidad</v>
      </c>
      <c r="D378" s="99" t="s">
        <v>104</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LEGAL</v>
      </c>
      <c r="C379" s="85" t="str" cm="1">
        <f t="array" ref="C379">IFERROR(INDEX('03.Muestra'!$F$8:$F$42,SMALL(IF("Página Web"='03.Muestra'!$D$8:$D$42,ROW('03.Muestra'!$F$8:$F$42)-MIN(ROW('03.Muestra'!$D$8:$D$42))+1,""),ROW()-360)),"")</f>
        <v>https://www.comunidad.madrid/hospital/santacristina/ciudadanos/aviso-legal-privacidad</v>
      </c>
      <c r="D379" s="99" t="s">
        <v>104</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MAPA WEB</v>
      </c>
      <c r="C380" s="85" t="str" cm="1">
        <f t="array" ref="C380">IFERROR(INDEX('03.Muestra'!$F$8:$F$42,SMALL(IF("Página Web"='03.Muestra'!$D$8:$D$42,ROW('03.Muestra'!$F$8:$F$42)-MIN(ROW('03.Muestra'!$D$8:$D$42))+1,""),ROW()-360)),"")</f>
        <v>https://www.comunidad.madrid/hospital/santacristina/sitemap</v>
      </c>
      <c r="D380" s="99" t="s">
        <v>104</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https://www.comunidad.madrid/hospital/santacristina/</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https://www.comunidad.madrid/hospital/santacristina/ciudadanos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https://www.comunidad.madrid/hospital/santacristina/profesionales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https://www.comunidad.madrid/hospital/santacristina/comunicacion</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https://www.comunidad.madrid/hospital/santacristina/nosotros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https://www.comunidad.madrid/hospital/santacristina/buscar?search_api_fulltext=&amp;nombre=</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ATENCIÓN AL PACIENTE</v>
      </c>
      <c r="C405" s="85" t="str" cm="1">
        <f t="array" ref="C405">IFERROR(INDEX('03.Muestra'!$F$8:$F$42,SMALL(IF("Página Web"='03.Muestra'!$D$8:$D$42,ROW('03.Muestra'!$F$8:$F$42)-MIN(ROW('03.Muestra'!$D$8:$D$42))+1,""),ROW()-398)),"")</f>
        <v>https://www.comunidad.madrid/hospital/santacristina/ciudadanos/atencion-paciente</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ATENCIÓN ESPIRITUAL</v>
      </c>
      <c r="C406" s="85" t="str" cm="1">
        <f t="array" ref="C406">IFERROR(INDEX('03.Muestra'!$F$8:$F$42,SMALL(IF("Página Web"='03.Muestra'!$D$8:$D$42,ROW('03.Muestra'!$F$8:$F$42)-MIN(ROW('03.Muestra'!$D$8:$D$42))+1,""),ROW()-398)),"")</f>
        <v>https://www.comunidad.madrid/hospital/santacristina/ciudadanos/atencion-espiritual-religiosa</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LOCALIZACIÓN Y ACCESO</v>
      </c>
      <c r="C407" s="85" t="str" cm="1">
        <f t="array" ref="C407">IFERROR(INDEX('03.Muestra'!$F$8:$F$42,SMALL(IF("Página Web"='03.Muestra'!$D$8:$D$42,ROW('03.Muestra'!$F$8:$F$42)-MIN(ROW('03.Muestra'!$D$8:$D$42))+1,""),ROW()-398)),"")</f>
        <v>https://www.comunidad.madrid/hospital/santacristina/ciudadanos/localizacion-acceso</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GUÍAS DE USUARIO</v>
      </c>
      <c r="C408" s="85" t="str" cm="1">
        <f t="array" ref="C408">IFERROR(INDEX('03.Muestra'!$F$8:$F$42,SMALL(IF("Página Web"='03.Muestra'!$D$8:$D$42,ROW('03.Muestra'!$F$8:$F$42)-MIN(ROW('03.Muestra'!$D$8:$D$42))+1,""),ROW()-398)),"")</f>
        <v>https://www.comunidad.madrid/hospital/santacristina/ciudadanos/guias-usuario</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SERVICIOS QUIRÚRGICOS</v>
      </c>
      <c r="C409" s="85" t="str" cm="1">
        <f t="array" ref="C409">IFERROR(INDEX('03.Muestra'!$F$8:$F$42,SMALL(IF("Página Web"='03.Muestra'!$D$8:$D$42,ROW('03.Muestra'!$F$8:$F$42)-MIN(ROW('03.Muestra'!$D$8:$D$42))+1,""),ROW()-398)),"")</f>
        <v>https://www.comunidad.madrid/hospital/santacristina/profesionales/servicios-quirurgicos-0</v>
      </c>
      <c r="D409" s="99" t="s">
        <v>104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INVESTIGACIÓN</v>
      </c>
      <c r="C410" s="85" t="str" cm="1">
        <f t="array" ref="C410">IFERROR(INDEX('03.Muestra'!$F$8:$F$42,SMALL(IF("Página Web"='03.Muestra'!$D$8:$D$42,ROW('03.Muestra'!$F$8:$F$42)-MIN(ROW('03.Muestra'!$D$8:$D$42))+1,""),ROW()-398)),"")</f>
        <v>https://www.comunidad.madrid/hospital/santacristina/profesionales/investigacion-0</v>
      </c>
      <c r="D410" s="99" t="s">
        <v>104</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NOTICIAS</v>
      </c>
      <c r="C411" s="85" t="str" cm="1">
        <f t="array" ref="C411">IFERROR(INDEX('03.Muestra'!$F$8:$F$42,SMALL(IF("Página Web"='03.Muestra'!$D$8:$D$42,ROW('03.Muestra'!$F$8:$F$42)-MIN(ROW('03.Muestra'!$D$8:$D$42))+1,""),ROW()-398)),"")</f>
        <v>https://www.comunidad.madrid/hospital/santacristina/comunicacion/noticias</v>
      </c>
      <c r="D411" s="99" t="s">
        <v>104</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ACTOS DEL CENTENARIO</v>
      </c>
      <c r="C412" s="85" t="str" cm="1">
        <f t="array" ref="C412">IFERROR(INDEX('03.Muestra'!$F$8:$F$42,SMALL(IF("Página Web"='03.Muestra'!$D$8:$D$42,ROW('03.Muestra'!$F$8:$F$42)-MIN(ROW('03.Muestra'!$D$8:$D$42))+1,""),ROW()-398)),"")</f>
        <v>https://www.comunidad.madrid/hospital/santacristina/nosotros/actos-centenario</v>
      </c>
      <c r="D412" s="99" t="s">
        <v>104</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ACCESIBILIDAD HOSPITAL</v>
      </c>
      <c r="C413" s="85" t="str" cm="1">
        <f t="array" ref="C413">IFERROR(INDEX('03.Muestra'!$F$8:$F$42,SMALL(IF("Página Web"='03.Muestra'!$D$8:$D$42,ROW('03.Muestra'!$F$8:$F$42)-MIN(ROW('03.Muestra'!$D$8:$D$42))+1,""),ROW()-398)),"")</f>
        <v>https://www.comunidad.madrid/hospital/santacristina/nosotros/accesibilidad-hospital</v>
      </c>
      <c r="D413" s="99" t="s">
        <v>104</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CARTERA DE SERVICIOS</v>
      </c>
      <c r="C414" s="85" t="str" cm="1">
        <f t="array" ref="C414">IFERROR(INDEX('03.Muestra'!$F$8:$F$42,SMALL(IF("Página Web"='03.Muestra'!$D$8:$D$42,ROW('03.Muestra'!$F$8:$F$42)-MIN(ROW('03.Muestra'!$D$8:$D$42))+1,""),ROW()-398)),"")</f>
        <v>https://www.comunidad.madrid/hospital/santacristina/nosotros/cartera-servicios</v>
      </c>
      <c r="D414" s="99" t="s">
        <v>104</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CONTACTO</v>
      </c>
      <c r="C415" s="85" t="str" cm="1">
        <f t="array" ref="C415">IFERROR(INDEX('03.Muestra'!$F$8:$F$42,SMALL(IF("Página Web"='03.Muestra'!$D$8:$D$42,ROW('03.Muestra'!$F$8:$F$42)-MIN(ROW('03.Muestra'!$D$8:$D$42))+1,""),ROW()-398)),"")</f>
        <v>https://www.comunidad.madrid/hospital/santacristina/comunicacion/contacto</v>
      </c>
      <c r="D415" s="99" t="s">
        <v>104</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ACCESIBILIDAD</v>
      </c>
      <c r="C416" s="85" t="str" cm="1">
        <f t="array" ref="C416">IFERROR(INDEX('03.Muestra'!$F$8:$F$42,SMALL(IF("Página Web"='03.Muestra'!$D$8:$D$42,ROW('03.Muestra'!$F$8:$F$42)-MIN(ROW('03.Muestra'!$D$8:$D$42))+1,""),ROW()-398)),"")</f>
        <v>https://www.comunidad.madrid/hospital/santacristina/declaracion-accesibilidad</v>
      </c>
      <c r="D416" s="99" t="s">
        <v>104</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LEGAL</v>
      </c>
      <c r="C417" s="85" t="str" cm="1">
        <f t="array" ref="C417">IFERROR(INDEX('03.Muestra'!$F$8:$F$42,SMALL(IF("Página Web"='03.Muestra'!$D$8:$D$42,ROW('03.Muestra'!$F$8:$F$42)-MIN(ROW('03.Muestra'!$D$8:$D$42))+1,""),ROW()-398)),"")</f>
        <v>https://www.comunidad.madrid/hospital/santacristina/ciudadanos/aviso-legal-privacidad</v>
      </c>
      <c r="D417" s="99" t="s">
        <v>104</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MAPA WEB</v>
      </c>
      <c r="C418" s="85" t="str" cm="1">
        <f t="array" ref="C418">IFERROR(INDEX('03.Muestra'!$F$8:$F$42,SMALL(IF("Página Web"='03.Muestra'!$D$8:$D$42,ROW('03.Muestra'!$F$8:$F$42)-MIN(ROW('03.Muestra'!$D$8:$D$42))+1,""),ROW()-398)),"")</f>
        <v>https://www.comunidad.madrid/hospital/santacristina/sitemap</v>
      </c>
      <c r="D418" s="99" t="s">
        <v>104</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https://www.comunidad.madrid/hospital/santacristina/</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https://www.comunidad.madrid/hospital/santacristina/ciudadanos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https://www.comunidad.madrid/hospital/santacristina/profesionales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https://www.comunidad.madrid/hospital/santacristina/comunicacion</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https://www.comunidad.madrid/hospital/santacristina/nosotros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https://www.comunidad.madrid/hospital/santacristina/buscar?search_api_fulltext=&amp;nombre=</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ATENCIÓN AL PACIENTE</v>
      </c>
      <c r="C443" s="85" t="str" cm="1">
        <f t="array" ref="C443">IFERROR(INDEX('03.Muestra'!$F$8:$F$42,SMALL(IF("Página Web"='03.Muestra'!$D$8:$D$42,ROW('03.Muestra'!$F$8:$F$42)-MIN(ROW('03.Muestra'!$D$8:$D$42))+1,""),ROW()-436)),"")</f>
        <v>https://www.comunidad.madrid/hospital/santacristina/ciudadanos/atencion-paciente</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ATENCIÓN ESPIRITUAL</v>
      </c>
      <c r="C444" s="85" t="str" cm="1">
        <f t="array" ref="C444">IFERROR(INDEX('03.Muestra'!$F$8:$F$42,SMALL(IF("Página Web"='03.Muestra'!$D$8:$D$42,ROW('03.Muestra'!$F$8:$F$42)-MIN(ROW('03.Muestra'!$D$8:$D$42))+1,""),ROW()-436)),"")</f>
        <v>https://www.comunidad.madrid/hospital/santacristina/ciudadanos/atencion-espiritual-religiosa</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LOCALIZACIÓN Y ACCESO</v>
      </c>
      <c r="C445" s="85" t="str" cm="1">
        <f t="array" ref="C445">IFERROR(INDEX('03.Muestra'!$F$8:$F$42,SMALL(IF("Página Web"='03.Muestra'!$D$8:$D$42,ROW('03.Muestra'!$F$8:$F$42)-MIN(ROW('03.Muestra'!$D$8:$D$42))+1,""),ROW()-436)),"")</f>
        <v>https://www.comunidad.madrid/hospital/santacristina/ciudadanos/localizacion-acceso</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GUÍAS DE USUARIO</v>
      </c>
      <c r="C446" s="85" t="str" cm="1">
        <f t="array" ref="C446">IFERROR(INDEX('03.Muestra'!$F$8:$F$42,SMALL(IF("Página Web"='03.Muestra'!$D$8:$D$42,ROW('03.Muestra'!$F$8:$F$42)-MIN(ROW('03.Muestra'!$D$8:$D$42))+1,""),ROW()-436)),"")</f>
        <v>https://www.comunidad.madrid/hospital/santacristina/ciudadanos/guias-usuario</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SERVICIOS QUIRÚRGICOS</v>
      </c>
      <c r="C447" s="85" t="str" cm="1">
        <f t="array" ref="C447">IFERROR(INDEX('03.Muestra'!$F$8:$F$42,SMALL(IF("Página Web"='03.Muestra'!$D$8:$D$42,ROW('03.Muestra'!$F$8:$F$42)-MIN(ROW('03.Muestra'!$D$8:$D$42))+1,""),ROW()-436)),"")</f>
        <v>https://www.comunidad.madrid/hospital/santacristina/profesionales/servicios-quirurgicos-0</v>
      </c>
      <c r="D447" s="99" t="s">
        <v>104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INVESTIGACIÓN</v>
      </c>
      <c r="C448" s="85" t="str" cm="1">
        <f t="array" ref="C448">IFERROR(INDEX('03.Muestra'!$F$8:$F$42,SMALL(IF("Página Web"='03.Muestra'!$D$8:$D$42,ROW('03.Muestra'!$F$8:$F$42)-MIN(ROW('03.Muestra'!$D$8:$D$42))+1,""),ROW()-436)),"")</f>
        <v>https://www.comunidad.madrid/hospital/santacristina/profesionales/investigacion-0</v>
      </c>
      <c r="D448" s="99" t="s">
        <v>104</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NOTICIAS</v>
      </c>
      <c r="C449" s="85" t="str" cm="1">
        <f t="array" ref="C449">IFERROR(INDEX('03.Muestra'!$F$8:$F$42,SMALL(IF("Página Web"='03.Muestra'!$D$8:$D$42,ROW('03.Muestra'!$F$8:$F$42)-MIN(ROW('03.Muestra'!$D$8:$D$42))+1,""),ROW()-436)),"")</f>
        <v>https://www.comunidad.madrid/hospital/santacristina/comunicacion/noticias</v>
      </c>
      <c r="D449" s="99" t="s">
        <v>104</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ACTOS DEL CENTENARIO</v>
      </c>
      <c r="C450" s="85" t="str" cm="1">
        <f t="array" ref="C450">IFERROR(INDEX('03.Muestra'!$F$8:$F$42,SMALL(IF("Página Web"='03.Muestra'!$D$8:$D$42,ROW('03.Muestra'!$F$8:$F$42)-MIN(ROW('03.Muestra'!$D$8:$D$42))+1,""),ROW()-436)),"")</f>
        <v>https://www.comunidad.madrid/hospital/santacristina/nosotros/actos-centenario</v>
      </c>
      <c r="D450" s="99" t="s">
        <v>104</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ACCESIBILIDAD HOSPITAL</v>
      </c>
      <c r="C451" s="85" t="str" cm="1">
        <f t="array" ref="C451">IFERROR(INDEX('03.Muestra'!$F$8:$F$42,SMALL(IF("Página Web"='03.Muestra'!$D$8:$D$42,ROW('03.Muestra'!$F$8:$F$42)-MIN(ROW('03.Muestra'!$D$8:$D$42))+1,""),ROW()-436)),"")</f>
        <v>https://www.comunidad.madrid/hospital/santacristina/nosotros/accesibilidad-hospital</v>
      </c>
      <c r="D451" s="99" t="s">
        <v>104</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CARTERA DE SERVICIOS</v>
      </c>
      <c r="C452" s="85" t="str" cm="1">
        <f t="array" ref="C452">IFERROR(INDEX('03.Muestra'!$F$8:$F$42,SMALL(IF("Página Web"='03.Muestra'!$D$8:$D$42,ROW('03.Muestra'!$F$8:$F$42)-MIN(ROW('03.Muestra'!$D$8:$D$42))+1,""),ROW()-436)),"")</f>
        <v>https://www.comunidad.madrid/hospital/santacristina/nosotros/cartera-servicios</v>
      </c>
      <c r="D452" s="99" t="s">
        <v>104</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CONTACTO</v>
      </c>
      <c r="C453" s="85" t="str" cm="1">
        <f t="array" ref="C453">IFERROR(INDEX('03.Muestra'!$F$8:$F$42,SMALL(IF("Página Web"='03.Muestra'!$D$8:$D$42,ROW('03.Muestra'!$F$8:$F$42)-MIN(ROW('03.Muestra'!$D$8:$D$42))+1,""),ROW()-436)),"")</f>
        <v>https://www.comunidad.madrid/hospital/santacristina/comunicacion/contacto</v>
      </c>
      <c r="D453" s="99" t="s">
        <v>104</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ACCESIBILIDAD</v>
      </c>
      <c r="C454" s="85" t="str" cm="1">
        <f t="array" ref="C454">IFERROR(INDEX('03.Muestra'!$F$8:$F$42,SMALL(IF("Página Web"='03.Muestra'!$D$8:$D$42,ROW('03.Muestra'!$F$8:$F$42)-MIN(ROW('03.Muestra'!$D$8:$D$42))+1,""),ROW()-436)),"")</f>
        <v>https://www.comunidad.madrid/hospital/santacristina/declaracion-accesibilidad</v>
      </c>
      <c r="D454" s="99" t="s">
        <v>104</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LEGAL</v>
      </c>
      <c r="C455" s="85" t="str" cm="1">
        <f t="array" ref="C455">IFERROR(INDEX('03.Muestra'!$F$8:$F$42,SMALL(IF("Página Web"='03.Muestra'!$D$8:$D$42,ROW('03.Muestra'!$F$8:$F$42)-MIN(ROW('03.Muestra'!$D$8:$D$42))+1,""),ROW()-436)),"")</f>
        <v>https://www.comunidad.madrid/hospital/santacristina/ciudadanos/aviso-legal-privacidad</v>
      </c>
      <c r="D455" s="99" t="s">
        <v>104</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MAPA WEB</v>
      </c>
      <c r="C456" s="85" t="str" cm="1">
        <f t="array" ref="C456">IFERROR(INDEX('03.Muestra'!$F$8:$F$42,SMALL(IF("Página Web"='03.Muestra'!$D$8:$D$42,ROW('03.Muestra'!$F$8:$F$42)-MIN(ROW('03.Muestra'!$D$8:$D$42))+1,""),ROW()-436)),"")</f>
        <v>https://www.comunidad.madrid/hospital/santacristina/sitemap</v>
      </c>
      <c r="D456" s="99" t="s">
        <v>104</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https://www.comunidad.madrid/hospital/santacristina/</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https://www.comunidad.madrid/hospital/santacristina/ciudadanos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https://www.comunidad.madrid/hospital/santacristina/profesionales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https://www.comunidad.madrid/hospital/santacristina/comunicacion</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https://www.comunidad.madrid/hospital/santacristina/nosotros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https://www.comunidad.madrid/hospital/santacristina/buscar?search_api_fulltext=&amp;nombre=</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ATENCIÓN AL PACIENTE</v>
      </c>
      <c r="C481" s="85" t="str" cm="1">
        <f t="array" ref="C481">IFERROR(INDEX('03.Muestra'!$F$8:$F$42,SMALL(IF("Página Web"='03.Muestra'!$D$8:$D$42,ROW('03.Muestra'!$F$8:$F$42)-MIN(ROW('03.Muestra'!$D$8:$D$42))+1,""),ROW()-474)),"")</f>
        <v>https://www.comunidad.madrid/hospital/santacristina/ciudadanos/atencion-paciente</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ATENCIÓN ESPIRITUAL</v>
      </c>
      <c r="C482" s="85" t="str" cm="1">
        <f t="array" ref="C482">IFERROR(INDEX('03.Muestra'!$F$8:$F$42,SMALL(IF("Página Web"='03.Muestra'!$D$8:$D$42,ROW('03.Muestra'!$F$8:$F$42)-MIN(ROW('03.Muestra'!$D$8:$D$42))+1,""),ROW()-474)),"")</f>
        <v>https://www.comunidad.madrid/hospital/santacristina/ciudadanos/atencion-espiritual-religiosa</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LOCALIZACIÓN Y ACCESO</v>
      </c>
      <c r="C483" s="85" t="str" cm="1">
        <f t="array" ref="C483">IFERROR(INDEX('03.Muestra'!$F$8:$F$42,SMALL(IF("Página Web"='03.Muestra'!$D$8:$D$42,ROW('03.Muestra'!$F$8:$F$42)-MIN(ROW('03.Muestra'!$D$8:$D$42))+1,""),ROW()-474)),"")</f>
        <v>https://www.comunidad.madrid/hospital/santacristina/ciudadanos/localizacion-acceso</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GUÍAS DE USUARIO</v>
      </c>
      <c r="C484" s="85" t="str" cm="1">
        <f t="array" ref="C484">IFERROR(INDEX('03.Muestra'!$F$8:$F$42,SMALL(IF("Página Web"='03.Muestra'!$D$8:$D$42,ROW('03.Muestra'!$F$8:$F$42)-MIN(ROW('03.Muestra'!$D$8:$D$42))+1,""),ROW()-474)),"")</f>
        <v>https://www.comunidad.madrid/hospital/santacristina/ciudadanos/guias-usuario</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SERVICIOS QUIRÚRGICOS</v>
      </c>
      <c r="C485" s="85" t="str" cm="1">
        <f t="array" ref="C485">IFERROR(INDEX('03.Muestra'!$F$8:$F$42,SMALL(IF("Página Web"='03.Muestra'!$D$8:$D$42,ROW('03.Muestra'!$F$8:$F$42)-MIN(ROW('03.Muestra'!$D$8:$D$42))+1,""),ROW()-474)),"")</f>
        <v>https://www.comunidad.madrid/hospital/santacristina/profesionales/servicios-quirurgicos-0</v>
      </c>
      <c r="D485" s="99" t="s">
        <v>104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INVESTIGACIÓN</v>
      </c>
      <c r="C486" s="85" t="str" cm="1">
        <f t="array" ref="C486">IFERROR(INDEX('03.Muestra'!$F$8:$F$42,SMALL(IF("Página Web"='03.Muestra'!$D$8:$D$42,ROW('03.Muestra'!$F$8:$F$42)-MIN(ROW('03.Muestra'!$D$8:$D$42))+1,""),ROW()-474)),"")</f>
        <v>https://www.comunidad.madrid/hospital/santacristina/profesionales/investigacion-0</v>
      </c>
      <c r="D486" s="99" t="s">
        <v>104</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NOTICIAS</v>
      </c>
      <c r="C487" s="85" t="str" cm="1">
        <f t="array" ref="C487">IFERROR(INDEX('03.Muestra'!$F$8:$F$42,SMALL(IF("Página Web"='03.Muestra'!$D$8:$D$42,ROW('03.Muestra'!$F$8:$F$42)-MIN(ROW('03.Muestra'!$D$8:$D$42))+1,""),ROW()-474)),"")</f>
        <v>https://www.comunidad.madrid/hospital/santacristina/comunicacion/noticias</v>
      </c>
      <c r="D487" s="99" t="s">
        <v>104</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ACTOS DEL CENTENARIO</v>
      </c>
      <c r="C488" s="85" t="str" cm="1">
        <f t="array" ref="C488">IFERROR(INDEX('03.Muestra'!$F$8:$F$42,SMALL(IF("Página Web"='03.Muestra'!$D$8:$D$42,ROW('03.Muestra'!$F$8:$F$42)-MIN(ROW('03.Muestra'!$D$8:$D$42))+1,""),ROW()-474)),"")</f>
        <v>https://www.comunidad.madrid/hospital/santacristina/nosotros/actos-centenario</v>
      </c>
      <c r="D488" s="99" t="s">
        <v>104</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ACCESIBILIDAD HOSPITAL</v>
      </c>
      <c r="C489" s="85" t="str" cm="1">
        <f t="array" ref="C489">IFERROR(INDEX('03.Muestra'!$F$8:$F$42,SMALL(IF("Página Web"='03.Muestra'!$D$8:$D$42,ROW('03.Muestra'!$F$8:$F$42)-MIN(ROW('03.Muestra'!$D$8:$D$42))+1,""),ROW()-474)),"")</f>
        <v>https://www.comunidad.madrid/hospital/santacristina/nosotros/accesibilidad-hospital</v>
      </c>
      <c r="D489" s="99" t="s">
        <v>104</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CARTERA DE SERVICIOS</v>
      </c>
      <c r="C490" s="85" t="str" cm="1">
        <f t="array" ref="C490">IFERROR(INDEX('03.Muestra'!$F$8:$F$42,SMALL(IF("Página Web"='03.Muestra'!$D$8:$D$42,ROW('03.Muestra'!$F$8:$F$42)-MIN(ROW('03.Muestra'!$D$8:$D$42))+1,""),ROW()-474)),"")</f>
        <v>https://www.comunidad.madrid/hospital/santacristina/nosotros/cartera-servicios</v>
      </c>
      <c r="D490" s="99" t="s">
        <v>104</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CONTACTO</v>
      </c>
      <c r="C491" s="85" t="str" cm="1">
        <f t="array" ref="C491">IFERROR(INDEX('03.Muestra'!$F$8:$F$42,SMALL(IF("Página Web"='03.Muestra'!$D$8:$D$42,ROW('03.Muestra'!$F$8:$F$42)-MIN(ROW('03.Muestra'!$D$8:$D$42))+1,""),ROW()-474)),"")</f>
        <v>https://www.comunidad.madrid/hospital/santacristina/comunicacion/contacto</v>
      </c>
      <c r="D491" s="99" t="s">
        <v>104</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ACCESIBILIDAD</v>
      </c>
      <c r="C492" s="85" t="str" cm="1">
        <f t="array" ref="C492">IFERROR(INDEX('03.Muestra'!$F$8:$F$42,SMALL(IF("Página Web"='03.Muestra'!$D$8:$D$42,ROW('03.Muestra'!$F$8:$F$42)-MIN(ROW('03.Muestra'!$D$8:$D$42))+1,""),ROW()-474)),"")</f>
        <v>https://www.comunidad.madrid/hospital/santacristina/declaracion-accesibilidad</v>
      </c>
      <c r="D492" s="99" t="s">
        <v>104</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LEGAL</v>
      </c>
      <c r="C493" s="85" t="str" cm="1">
        <f t="array" ref="C493">IFERROR(INDEX('03.Muestra'!$F$8:$F$42,SMALL(IF("Página Web"='03.Muestra'!$D$8:$D$42,ROW('03.Muestra'!$F$8:$F$42)-MIN(ROW('03.Muestra'!$D$8:$D$42))+1,""),ROW()-474)),"")</f>
        <v>https://www.comunidad.madrid/hospital/santacristina/ciudadanos/aviso-legal-privacidad</v>
      </c>
      <c r="D493" s="99" t="s">
        <v>104</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MAPA WEB</v>
      </c>
      <c r="C494" s="85" t="str" cm="1">
        <f t="array" ref="C494">IFERROR(INDEX('03.Muestra'!$F$8:$F$42,SMALL(IF("Página Web"='03.Muestra'!$D$8:$D$42,ROW('03.Muestra'!$F$8:$F$42)-MIN(ROW('03.Muestra'!$D$8:$D$42))+1,""),ROW()-474)),"")</f>
        <v>https://www.comunidad.madrid/hospital/santacristina/sitemap</v>
      </c>
      <c r="D494" s="99" t="s">
        <v>104</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https://www.comunidad.madrid/hospital/santacristina/</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https://www.comunidad.madrid/hospital/santacristina/ciudadanos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https://www.comunidad.madrid/hospital/santacristina/profesionales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https://www.comunidad.madrid/hospital/santacristina/comunicacion</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https://www.comunidad.madrid/hospital/santacristina/nosotros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https://www.comunidad.madrid/hospital/santacristina/buscar?search_api_fulltext=&amp;nombre=</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ATENCIÓN AL PACIENTE</v>
      </c>
      <c r="C519" s="85" t="str" cm="1">
        <f t="array" ref="C519">IFERROR(INDEX('03.Muestra'!$F$8:$F$42,SMALL(IF("Página Web"='03.Muestra'!$D$8:$D$42,ROW('03.Muestra'!$F$8:$F$42)-MIN(ROW('03.Muestra'!$D$8:$D$42))+1,""),ROW()-512)),"")</f>
        <v>https://www.comunidad.madrid/hospital/santacristina/ciudadanos/atencion-paciente</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ATENCIÓN ESPIRITUAL</v>
      </c>
      <c r="C520" s="85" t="str" cm="1">
        <f t="array" ref="C520">IFERROR(INDEX('03.Muestra'!$F$8:$F$42,SMALL(IF("Página Web"='03.Muestra'!$D$8:$D$42,ROW('03.Muestra'!$F$8:$F$42)-MIN(ROW('03.Muestra'!$D$8:$D$42))+1,""),ROW()-512)),"")</f>
        <v>https://www.comunidad.madrid/hospital/santacristina/ciudadanos/atencion-espiritual-religiosa</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LOCALIZACIÓN Y ACCESO</v>
      </c>
      <c r="C521" s="85" t="str" cm="1">
        <f t="array" ref="C521">IFERROR(INDEX('03.Muestra'!$F$8:$F$42,SMALL(IF("Página Web"='03.Muestra'!$D$8:$D$42,ROW('03.Muestra'!$F$8:$F$42)-MIN(ROW('03.Muestra'!$D$8:$D$42))+1,""),ROW()-512)),"")</f>
        <v>https://www.comunidad.madrid/hospital/santacristina/ciudadanos/localizacion-acceso</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GUÍAS DE USUARIO</v>
      </c>
      <c r="C522" s="85" t="str" cm="1">
        <f t="array" ref="C522">IFERROR(INDEX('03.Muestra'!$F$8:$F$42,SMALL(IF("Página Web"='03.Muestra'!$D$8:$D$42,ROW('03.Muestra'!$F$8:$F$42)-MIN(ROW('03.Muestra'!$D$8:$D$42))+1,""),ROW()-512)),"")</f>
        <v>https://www.comunidad.madrid/hospital/santacristina/ciudadanos/guias-usuario</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SERVICIOS QUIRÚRGICOS</v>
      </c>
      <c r="C523" s="85" t="str" cm="1">
        <f t="array" ref="C523">IFERROR(INDEX('03.Muestra'!$F$8:$F$42,SMALL(IF("Página Web"='03.Muestra'!$D$8:$D$42,ROW('03.Muestra'!$F$8:$F$42)-MIN(ROW('03.Muestra'!$D$8:$D$42))+1,""),ROW()-512)),"")</f>
        <v>https://www.comunidad.madrid/hospital/santacristina/profesionales/servicios-quirurgicos-0</v>
      </c>
      <c r="D523" s="99" t="s">
        <v>104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INVESTIGACIÓN</v>
      </c>
      <c r="C524" s="85" t="str" cm="1">
        <f t="array" ref="C524">IFERROR(INDEX('03.Muestra'!$F$8:$F$42,SMALL(IF("Página Web"='03.Muestra'!$D$8:$D$42,ROW('03.Muestra'!$F$8:$F$42)-MIN(ROW('03.Muestra'!$D$8:$D$42))+1,""),ROW()-512)),"")</f>
        <v>https://www.comunidad.madrid/hospital/santacristina/profesionales/investigacion-0</v>
      </c>
      <c r="D524" s="99" t="s">
        <v>104</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NOTICIAS</v>
      </c>
      <c r="C525" s="85" t="str" cm="1">
        <f t="array" ref="C525">IFERROR(INDEX('03.Muestra'!$F$8:$F$42,SMALL(IF("Página Web"='03.Muestra'!$D$8:$D$42,ROW('03.Muestra'!$F$8:$F$42)-MIN(ROW('03.Muestra'!$D$8:$D$42))+1,""),ROW()-512)),"")</f>
        <v>https://www.comunidad.madrid/hospital/santacristina/comunicacion/noticias</v>
      </c>
      <c r="D525" s="99" t="s">
        <v>104</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ACTOS DEL CENTENARIO</v>
      </c>
      <c r="C526" s="85" t="str" cm="1">
        <f t="array" ref="C526">IFERROR(INDEX('03.Muestra'!$F$8:$F$42,SMALL(IF("Página Web"='03.Muestra'!$D$8:$D$42,ROW('03.Muestra'!$F$8:$F$42)-MIN(ROW('03.Muestra'!$D$8:$D$42))+1,""),ROW()-512)),"")</f>
        <v>https://www.comunidad.madrid/hospital/santacristina/nosotros/actos-centenario</v>
      </c>
      <c r="D526" s="99" t="s">
        <v>104</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ACCESIBILIDAD HOSPITAL</v>
      </c>
      <c r="C527" s="85" t="str" cm="1">
        <f t="array" ref="C527">IFERROR(INDEX('03.Muestra'!$F$8:$F$42,SMALL(IF("Página Web"='03.Muestra'!$D$8:$D$42,ROW('03.Muestra'!$F$8:$F$42)-MIN(ROW('03.Muestra'!$D$8:$D$42))+1,""),ROW()-512)),"")</f>
        <v>https://www.comunidad.madrid/hospital/santacristina/nosotros/accesibilidad-hospital</v>
      </c>
      <c r="D527" s="99" t="s">
        <v>104</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CARTERA DE SERVICIOS</v>
      </c>
      <c r="C528" s="85" t="str" cm="1">
        <f t="array" ref="C528">IFERROR(INDEX('03.Muestra'!$F$8:$F$42,SMALL(IF("Página Web"='03.Muestra'!$D$8:$D$42,ROW('03.Muestra'!$F$8:$F$42)-MIN(ROW('03.Muestra'!$D$8:$D$42))+1,""),ROW()-512)),"")</f>
        <v>https://www.comunidad.madrid/hospital/santacristina/nosotros/cartera-servicios</v>
      </c>
      <c r="D528" s="99" t="s">
        <v>104</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CONTACTO</v>
      </c>
      <c r="C529" s="85" t="str" cm="1">
        <f t="array" ref="C529">IFERROR(INDEX('03.Muestra'!$F$8:$F$42,SMALL(IF("Página Web"='03.Muestra'!$D$8:$D$42,ROW('03.Muestra'!$F$8:$F$42)-MIN(ROW('03.Muestra'!$D$8:$D$42))+1,""),ROW()-512)),"")</f>
        <v>https://www.comunidad.madrid/hospital/santacristina/comunicacion/contacto</v>
      </c>
      <c r="D529" s="99" t="s">
        <v>104</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ACCESIBILIDAD</v>
      </c>
      <c r="C530" s="85" t="str" cm="1">
        <f t="array" ref="C530">IFERROR(INDEX('03.Muestra'!$F$8:$F$42,SMALL(IF("Página Web"='03.Muestra'!$D$8:$D$42,ROW('03.Muestra'!$F$8:$F$42)-MIN(ROW('03.Muestra'!$D$8:$D$42))+1,""),ROW()-512)),"")</f>
        <v>https://www.comunidad.madrid/hospital/santacristina/declaracion-accesibilidad</v>
      </c>
      <c r="D530" s="99" t="s">
        <v>104</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LEGAL</v>
      </c>
      <c r="C531" s="85" t="str" cm="1">
        <f t="array" ref="C531">IFERROR(INDEX('03.Muestra'!$F$8:$F$42,SMALL(IF("Página Web"='03.Muestra'!$D$8:$D$42,ROW('03.Muestra'!$F$8:$F$42)-MIN(ROW('03.Muestra'!$D$8:$D$42))+1,""),ROW()-512)),"")</f>
        <v>https://www.comunidad.madrid/hospital/santacristina/ciudadanos/aviso-legal-privacidad</v>
      </c>
      <c r="D531" s="99" t="s">
        <v>104</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MAPA WEB</v>
      </c>
      <c r="C532" s="85" t="str" cm="1">
        <f t="array" ref="C532">IFERROR(INDEX('03.Muestra'!$F$8:$F$42,SMALL(IF("Página Web"='03.Muestra'!$D$8:$D$42,ROW('03.Muestra'!$F$8:$F$42)-MIN(ROW('03.Muestra'!$D$8:$D$42))+1,""),ROW()-512)),"")</f>
        <v>https://www.comunidad.madrid/hospital/santacristina/sitemap</v>
      </c>
      <c r="D532" s="99" t="s">
        <v>104</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https://www.comunidad.madrid/hospital/santacristina/</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https://www.comunidad.madrid/hospital/santacristina/ciudadanos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https://www.comunidad.madrid/hospital/santacristina/profesionales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https://www.comunidad.madrid/hospital/santacristina/comunicacion</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https://www.comunidad.madrid/hospital/santacristina/nosotros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https://www.comunidad.madrid/hospital/santacristina/buscar?search_api_fulltext=&amp;nombre=</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ATENCIÓN AL PACIENTE</v>
      </c>
      <c r="C557" s="85" t="str" cm="1">
        <f t="array" ref="C557">IFERROR(INDEX('03.Muestra'!$F$8:$F$42,SMALL(IF("Página Web"='03.Muestra'!$D$8:$D$42,ROW('03.Muestra'!$F$8:$F$42)-MIN(ROW('03.Muestra'!$D$8:$D$42))+1,""),ROW()-550)),"")</f>
        <v>https://www.comunidad.madrid/hospital/santacristina/ciudadanos/atencion-paciente</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ATENCIÓN ESPIRITUAL</v>
      </c>
      <c r="C558" s="85" t="str" cm="1">
        <f t="array" ref="C558">IFERROR(INDEX('03.Muestra'!$F$8:$F$42,SMALL(IF("Página Web"='03.Muestra'!$D$8:$D$42,ROW('03.Muestra'!$F$8:$F$42)-MIN(ROW('03.Muestra'!$D$8:$D$42))+1,""),ROW()-550)),"")</f>
        <v>https://www.comunidad.madrid/hospital/santacristina/ciudadanos/atencion-espiritual-religiosa</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LOCALIZACIÓN Y ACCESO</v>
      </c>
      <c r="C559" s="85" t="str" cm="1">
        <f t="array" ref="C559">IFERROR(INDEX('03.Muestra'!$F$8:$F$42,SMALL(IF("Página Web"='03.Muestra'!$D$8:$D$42,ROW('03.Muestra'!$F$8:$F$42)-MIN(ROW('03.Muestra'!$D$8:$D$42))+1,""),ROW()-550)),"")</f>
        <v>https://www.comunidad.madrid/hospital/santacristina/ciudadanos/localizacion-acceso</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GUÍAS DE USUARIO</v>
      </c>
      <c r="C560" s="85" t="str" cm="1">
        <f t="array" ref="C560">IFERROR(INDEX('03.Muestra'!$F$8:$F$42,SMALL(IF("Página Web"='03.Muestra'!$D$8:$D$42,ROW('03.Muestra'!$F$8:$F$42)-MIN(ROW('03.Muestra'!$D$8:$D$42))+1,""),ROW()-550)),"")</f>
        <v>https://www.comunidad.madrid/hospital/santacristina/ciudadanos/guias-usuario</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SERVICIOS QUIRÚRGICOS</v>
      </c>
      <c r="C561" s="85" t="str" cm="1">
        <f t="array" ref="C561">IFERROR(INDEX('03.Muestra'!$F$8:$F$42,SMALL(IF("Página Web"='03.Muestra'!$D$8:$D$42,ROW('03.Muestra'!$F$8:$F$42)-MIN(ROW('03.Muestra'!$D$8:$D$42))+1,""),ROW()-550)),"")</f>
        <v>https://www.comunidad.madrid/hospital/santacristina/profesionales/servicios-quirurgicos-0</v>
      </c>
      <c r="D561" s="99" t="s">
        <v>104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INVESTIGACIÓN</v>
      </c>
      <c r="C562" s="85" t="str" cm="1">
        <f t="array" ref="C562">IFERROR(INDEX('03.Muestra'!$F$8:$F$42,SMALL(IF("Página Web"='03.Muestra'!$D$8:$D$42,ROW('03.Muestra'!$F$8:$F$42)-MIN(ROW('03.Muestra'!$D$8:$D$42))+1,""),ROW()-550)),"")</f>
        <v>https://www.comunidad.madrid/hospital/santacristina/profesionales/investigacion-0</v>
      </c>
      <c r="D562" s="99" t="s">
        <v>104</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NOTICIAS</v>
      </c>
      <c r="C563" s="85" t="str" cm="1">
        <f t="array" ref="C563">IFERROR(INDEX('03.Muestra'!$F$8:$F$42,SMALL(IF("Página Web"='03.Muestra'!$D$8:$D$42,ROW('03.Muestra'!$F$8:$F$42)-MIN(ROW('03.Muestra'!$D$8:$D$42))+1,""),ROW()-550)),"")</f>
        <v>https://www.comunidad.madrid/hospital/santacristina/comunicacion/noticias</v>
      </c>
      <c r="D563" s="99" t="s">
        <v>104</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ACTOS DEL CENTENARIO</v>
      </c>
      <c r="C564" s="85" t="str" cm="1">
        <f t="array" ref="C564">IFERROR(INDEX('03.Muestra'!$F$8:$F$42,SMALL(IF("Página Web"='03.Muestra'!$D$8:$D$42,ROW('03.Muestra'!$F$8:$F$42)-MIN(ROW('03.Muestra'!$D$8:$D$42))+1,""),ROW()-550)),"")</f>
        <v>https://www.comunidad.madrid/hospital/santacristina/nosotros/actos-centenario</v>
      </c>
      <c r="D564" s="99" t="s">
        <v>104</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ACCESIBILIDAD HOSPITAL</v>
      </c>
      <c r="C565" s="85" t="str" cm="1">
        <f t="array" ref="C565">IFERROR(INDEX('03.Muestra'!$F$8:$F$42,SMALL(IF("Página Web"='03.Muestra'!$D$8:$D$42,ROW('03.Muestra'!$F$8:$F$42)-MIN(ROW('03.Muestra'!$D$8:$D$42))+1,""),ROW()-550)),"")</f>
        <v>https://www.comunidad.madrid/hospital/santacristina/nosotros/accesibilidad-hospital</v>
      </c>
      <c r="D565" s="99" t="s">
        <v>104</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CARTERA DE SERVICIOS</v>
      </c>
      <c r="C566" s="85" t="str" cm="1">
        <f t="array" ref="C566">IFERROR(INDEX('03.Muestra'!$F$8:$F$42,SMALL(IF("Página Web"='03.Muestra'!$D$8:$D$42,ROW('03.Muestra'!$F$8:$F$42)-MIN(ROW('03.Muestra'!$D$8:$D$42))+1,""),ROW()-550)),"")</f>
        <v>https://www.comunidad.madrid/hospital/santacristina/nosotros/cartera-servicios</v>
      </c>
      <c r="D566" s="99" t="s">
        <v>104</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CONTACTO</v>
      </c>
      <c r="C567" s="85" t="str" cm="1">
        <f t="array" ref="C567">IFERROR(INDEX('03.Muestra'!$F$8:$F$42,SMALL(IF("Página Web"='03.Muestra'!$D$8:$D$42,ROW('03.Muestra'!$F$8:$F$42)-MIN(ROW('03.Muestra'!$D$8:$D$42))+1,""),ROW()-550)),"")</f>
        <v>https://www.comunidad.madrid/hospital/santacristina/comunicacion/contacto</v>
      </c>
      <c r="D567" s="99" t="s">
        <v>104</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ACCESIBILIDAD</v>
      </c>
      <c r="C568" s="85" t="str" cm="1">
        <f t="array" ref="C568">IFERROR(INDEX('03.Muestra'!$F$8:$F$42,SMALL(IF("Página Web"='03.Muestra'!$D$8:$D$42,ROW('03.Muestra'!$F$8:$F$42)-MIN(ROW('03.Muestra'!$D$8:$D$42))+1,""),ROW()-550)),"")</f>
        <v>https://www.comunidad.madrid/hospital/santacristina/declaracion-accesibilidad</v>
      </c>
      <c r="D568" s="99" t="s">
        <v>104</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LEGAL</v>
      </c>
      <c r="C569" s="85" t="str" cm="1">
        <f t="array" ref="C569">IFERROR(INDEX('03.Muestra'!$F$8:$F$42,SMALL(IF("Página Web"='03.Muestra'!$D$8:$D$42,ROW('03.Muestra'!$F$8:$F$42)-MIN(ROW('03.Muestra'!$D$8:$D$42))+1,""),ROW()-550)),"")</f>
        <v>https://www.comunidad.madrid/hospital/santacristina/ciudadanos/aviso-legal-privacidad</v>
      </c>
      <c r="D569" s="99" t="s">
        <v>104</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MAPA WEB</v>
      </c>
      <c r="C570" s="85" t="str" cm="1">
        <f t="array" ref="C570">IFERROR(INDEX('03.Muestra'!$F$8:$F$42,SMALL(IF("Página Web"='03.Muestra'!$D$8:$D$42,ROW('03.Muestra'!$F$8:$F$42)-MIN(ROW('03.Muestra'!$D$8:$D$42))+1,""),ROW()-550)),"")</f>
        <v>https://www.comunidad.madrid/hospital/santacristina/sitemap</v>
      </c>
      <c r="D570" s="99" t="s">
        <v>104</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https://www.comunidad.madrid/hospital/santacristina/</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https://www.comunidad.madrid/hospital/santacristina/ciudadanos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https://www.comunidad.madrid/hospital/santacristina/profesionales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https://www.comunidad.madrid/hospital/santacristina/comunicacion</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https://www.comunidad.madrid/hospital/santacristina/nosotros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https://www.comunidad.madrid/hospital/santacristina/buscar?search_api_fulltext=&amp;nombre=</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ATENCIÓN AL PACIENTE</v>
      </c>
      <c r="C595" s="85" t="str" cm="1">
        <f t="array" ref="C595">IFERROR(INDEX('03.Muestra'!$F$8:$F$42,SMALL(IF("Página Web"='03.Muestra'!$D$8:$D$42,ROW('03.Muestra'!$F$8:$F$42)-MIN(ROW('03.Muestra'!$D$8:$D$42))+1,""),ROW()-588)),"")</f>
        <v>https://www.comunidad.madrid/hospital/santacristina/ciudadanos/atencion-paciente</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ATENCIÓN ESPIRITUAL</v>
      </c>
      <c r="C596" s="85" t="str" cm="1">
        <f t="array" ref="C596">IFERROR(INDEX('03.Muestra'!$F$8:$F$42,SMALL(IF("Página Web"='03.Muestra'!$D$8:$D$42,ROW('03.Muestra'!$F$8:$F$42)-MIN(ROW('03.Muestra'!$D$8:$D$42))+1,""),ROW()-588)),"")</f>
        <v>https://www.comunidad.madrid/hospital/santacristina/ciudadanos/atencion-espiritual-religiosa</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LOCALIZACIÓN Y ACCESO</v>
      </c>
      <c r="C597" s="85" t="str" cm="1">
        <f t="array" ref="C597">IFERROR(INDEX('03.Muestra'!$F$8:$F$42,SMALL(IF("Página Web"='03.Muestra'!$D$8:$D$42,ROW('03.Muestra'!$F$8:$F$42)-MIN(ROW('03.Muestra'!$D$8:$D$42))+1,""),ROW()-588)),"")</f>
        <v>https://www.comunidad.madrid/hospital/santacristina/ciudadanos/localizacion-acceso</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GUÍAS DE USUARIO</v>
      </c>
      <c r="C598" s="85" t="str" cm="1">
        <f t="array" ref="C598">IFERROR(INDEX('03.Muestra'!$F$8:$F$42,SMALL(IF("Página Web"='03.Muestra'!$D$8:$D$42,ROW('03.Muestra'!$F$8:$F$42)-MIN(ROW('03.Muestra'!$D$8:$D$42))+1,""),ROW()-588)),"")</f>
        <v>https://www.comunidad.madrid/hospital/santacristina/ciudadanos/guias-usuario</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SERVICIOS QUIRÚRGICOS</v>
      </c>
      <c r="C599" s="85" t="str" cm="1">
        <f t="array" ref="C599">IFERROR(INDEX('03.Muestra'!$F$8:$F$42,SMALL(IF("Página Web"='03.Muestra'!$D$8:$D$42,ROW('03.Muestra'!$F$8:$F$42)-MIN(ROW('03.Muestra'!$D$8:$D$42))+1,""),ROW()-588)),"")</f>
        <v>https://www.comunidad.madrid/hospital/santacristina/profesionales/servicios-quirurgicos-0</v>
      </c>
      <c r="D599" s="99" t="s">
        <v>104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INVESTIGACIÓN</v>
      </c>
      <c r="C600" s="85" t="str" cm="1">
        <f t="array" ref="C600">IFERROR(INDEX('03.Muestra'!$F$8:$F$42,SMALL(IF("Página Web"='03.Muestra'!$D$8:$D$42,ROW('03.Muestra'!$F$8:$F$42)-MIN(ROW('03.Muestra'!$D$8:$D$42))+1,""),ROW()-588)),"")</f>
        <v>https://www.comunidad.madrid/hospital/santacristina/profesionales/investigacion-0</v>
      </c>
      <c r="D600" s="99" t="s">
        <v>104</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NOTICIAS</v>
      </c>
      <c r="C601" s="85" t="str" cm="1">
        <f t="array" ref="C601">IFERROR(INDEX('03.Muestra'!$F$8:$F$42,SMALL(IF("Página Web"='03.Muestra'!$D$8:$D$42,ROW('03.Muestra'!$F$8:$F$42)-MIN(ROW('03.Muestra'!$D$8:$D$42))+1,""),ROW()-588)),"")</f>
        <v>https://www.comunidad.madrid/hospital/santacristina/comunicacion/noticias</v>
      </c>
      <c r="D601" s="99" t="s">
        <v>104</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ACTOS DEL CENTENARIO</v>
      </c>
      <c r="C602" s="85" t="str" cm="1">
        <f t="array" ref="C602">IFERROR(INDEX('03.Muestra'!$F$8:$F$42,SMALL(IF("Página Web"='03.Muestra'!$D$8:$D$42,ROW('03.Muestra'!$F$8:$F$42)-MIN(ROW('03.Muestra'!$D$8:$D$42))+1,""),ROW()-588)),"")</f>
        <v>https://www.comunidad.madrid/hospital/santacristina/nosotros/actos-centenario</v>
      </c>
      <c r="D602" s="99" t="s">
        <v>104</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ACCESIBILIDAD HOSPITAL</v>
      </c>
      <c r="C603" s="85" t="str" cm="1">
        <f t="array" ref="C603">IFERROR(INDEX('03.Muestra'!$F$8:$F$42,SMALL(IF("Página Web"='03.Muestra'!$D$8:$D$42,ROW('03.Muestra'!$F$8:$F$42)-MIN(ROW('03.Muestra'!$D$8:$D$42))+1,""),ROW()-588)),"")</f>
        <v>https://www.comunidad.madrid/hospital/santacristina/nosotros/accesibilidad-hospital</v>
      </c>
      <c r="D603" s="99" t="s">
        <v>104</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CARTERA DE SERVICIOS</v>
      </c>
      <c r="C604" s="85" t="str" cm="1">
        <f t="array" ref="C604">IFERROR(INDEX('03.Muestra'!$F$8:$F$42,SMALL(IF("Página Web"='03.Muestra'!$D$8:$D$42,ROW('03.Muestra'!$F$8:$F$42)-MIN(ROW('03.Muestra'!$D$8:$D$42))+1,""),ROW()-588)),"")</f>
        <v>https://www.comunidad.madrid/hospital/santacristina/nosotros/cartera-servicios</v>
      </c>
      <c r="D604" s="99" t="s">
        <v>104</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CONTACTO</v>
      </c>
      <c r="C605" s="85" t="str" cm="1">
        <f t="array" ref="C605">IFERROR(INDEX('03.Muestra'!$F$8:$F$42,SMALL(IF("Página Web"='03.Muestra'!$D$8:$D$42,ROW('03.Muestra'!$F$8:$F$42)-MIN(ROW('03.Muestra'!$D$8:$D$42))+1,""),ROW()-588)),"")</f>
        <v>https://www.comunidad.madrid/hospital/santacristina/comunicacion/contacto</v>
      </c>
      <c r="D605" s="99" t="s">
        <v>104</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ACCESIBILIDAD</v>
      </c>
      <c r="C606" s="85" t="str" cm="1">
        <f t="array" ref="C606">IFERROR(INDEX('03.Muestra'!$F$8:$F$42,SMALL(IF("Página Web"='03.Muestra'!$D$8:$D$42,ROW('03.Muestra'!$F$8:$F$42)-MIN(ROW('03.Muestra'!$D$8:$D$42))+1,""),ROW()-588)),"")</f>
        <v>https://www.comunidad.madrid/hospital/santacristina/declaracion-accesibilidad</v>
      </c>
      <c r="D606" s="99" t="s">
        <v>104</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LEGAL</v>
      </c>
      <c r="C607" s="85" t="str" cm="1">
        <f t="array" ref="C607">IFERROR(INDEX('03.Muestra'!$F$8:$F$42,SMALL(IF("Página Web"='03.Muestra'!$D$8:$D$42,ROW('03.Muestra'!$F$8:$F$42)-MIN(ROW('03.Muestra'!$D$8:$D$42))+1,""),ROW()-588)),"")</f>
        <v>https://www.comunidad.madrid/hospital/santacristina/ciudadanos/aviso-legal-privacidad</v>
      </c>
      <c r="D607" s="99" t="s">
        <v>104</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MAPA WEB</v>
      </c>
      <c r="C608" s="85" t="str" cm="1">
        <f t="array" ref="C608">IFERROR(INDEX('03.Muestra'!$F$8:$F$42,SMALL(IF("Página Web"='03.Muestra'!$D$8:$D$42,ROW('03.Muestra'!$F$8:$F$42)-MIN(ROW('03.Muestra'!$D$8:$D$42))+1,""),ROW()-588)),"")</f>
        <v>https://www.comunidad.madrid/hospital/santacristina/sitemap</v>
      </c>
      <c r="D608" s="99" t="s">
        <v>104</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https://www.comunidad.madrid/hospital/santacristina/</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https://www.comunidad.madrid/hospital/santacristina/ciudadanos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https://www.comunidad.madrid/hospital/santacristina/profesionales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https://www.comunidad.madrid/hospital/santacristina/comunicacion</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https://www.comunidad.madrid/hospital/santacristina/nosotros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https://www.comunidad.madrid/hospital/santacristina/buscar?search_api_fulltext=&amp;nombre=</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ATENCIÓN AL PACIENTE</v>
      </c>
      <c r="C633" s="85" t="str" cm="1">
        <f t="array" ref="C633">IFERROR(INDEX('03.Muestra'!$F$8:$F$42,SMALL(IF("Página Web"='03.Muestra'!$D$8:$D$42,ROW('03.Muestra'!$F$8:$F$42)-MIN(ROW('03.Muestra'!$D$8:$D$42))+1,""),ROW()-626)),"")</f>
        <v>https://www.comunidad.madrid/hospital/santacristina/ciudadanos/atencion-paciente</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ATENCIÓN ESPIRITUAL</v>
      </c>
      <c r="C634" s="85" t="str" cm="1">
        <f t="array" ref="C634">IFERROR(INDEX('03.Muestra'!$F$8:$F$42,SMALL(IF("Página Web"='03.Muestra'!$D$8:$D$42,ROW('03.Muestra'!$F$8:$F$42)-MIN(ROW('03.Muestra'!$D$8:$D$42))+1,""),ROW()-626)),"")</f>
        <v>https://www.comunidad.madrid/hospital/santacristina/ciudadanos/atencion-espiritual-religiosa</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LOCALIZACIÓN Y ACCESO</v>
      </c>
      <c r="C635" s="85" t="str" cm="1">
        <f t="array" ref="C635">IFERROR(INDEX('03.Muestra'!$F$8:$F$42,SMALL(IF("Página Web"='03.Muestra'!$D$8:$D$42,ROW('03.Muestra'!$F$8:$F$42)-MIN(ROW('03.Muestra'!$D$8:$D$42))+1,""),ROW()-626)),"")</f>
        <v>https://www.comunidad.madrid/hospital/santacristina/ciudadanos/localizacion-acceso</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GUÍAS DE USUARIO</v>
      </c>
      <c r="C636" s="85" t="str" cm="1">
        <f t="array" ref="C636">IFERROR(INDEX('03.Muestra'!$F$8:$F$42,SMALL(IF("Página Web"='03.Muestra'!$D$8:$D$42,ROW('03.Muestra'!$F$8:$F$42)-MIN(ROW('03.Muestra'!$D$8:$D$42))+1,""),ROW()-626)),"")</f>
        <v>https://www.comunidad.madrid/hospital/santacristina/ciudadanos/guias-usuario</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SERVICIOS QUIRÚRGICOS</v>
      </c>
      <c r="C637" s="85" t="str" cm="1">
        <f t="array" ref="C637">IFERROR(INDEX('03.Muestra'!$F$8:$F$42,SMALL(IF("Página Web"='03.Muestra'!$D$8:$D$42,ROW('03.Muestra'!$F$8:$F$42)-MIN(ROW('03.Muestra'!$D$8:$D$42))+1,""),ROW()-626)),"")</f>
        <v>https://www.comunidad.madrid/hospital/santacristina/profesionales/servicios-quirurgicos-0</v>
      </c>
      <c r="D637" s="99" t="s">
        <v>104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INVESTIGACIÓN</v>
      </c>
      <c r="C638" s="85" t="str" cm="1">
        <f t="array" ref="C638">IFERROR(INDEX('03.Muestra'!$F$8:$F$42,SMALL(IF("Página Web"='03.Muestra'!$D$8:$D$42,ROW('03.Muestra'!$F$8:$F$42)-MIN(ROW('03.Muestra'!$D$8:$D$42))+1,""),ROW()-626)),"")</f>
        <v>https://www.comunidad.madrid/hospital/santacristina/profesionales/investigacion-0</v>
      </c>
      <c r="D638" s="99" t="s">
        <v>104</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NOTICIAS</v>
      </c>
      <c r="C639" s="85" t="str" cm="1">
        <f t="array" ref="C639">IFERROR(INDEX('03.Muestra'!$F$8:$F$42,SMALL(IF("Página Web"='03.Muestra'!$D$8:$D$42,ROW('03.Muestra'!$F$8:$F$42)-MIN(ROW('03.Muestra'!$D$8:$D$42))+1,""),ROW()-626)),"")</f>
        <v>https://www.comunidad.madrid/hospital/santacristina/comunicacion/noticias</v>
      </c>
      <c r="D639" s="99" t="s">
        <v>104</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ACTOS DEL CENTENARIO</v>
      </c>
      <c r="C640" s="85" t="str" cm="1">
        <f t="array" ref="C640">IFERROR(INDEX('03.Muestra'!$F$8:$F$42,SMALL(IF("Página Web"='03.Muestra'!$D$8:$D$42,ROW('03.Muestra'!$F$8:$F$42)-MIN(ROW('03.Muestra'!$D$8:$D$42))+1,""),ROW()-626)),"")</f>
        <v>https://www.comunidad.madrid/hospital/santacristina/nosotros/actos-centenario</v>
      </c>
      <c r="D640" s="99" t="s">
        <v>104</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ACCESIBILIDAD HOSPITAL</v>
      </c>
      <c r="C641" s="85" t="str" cm="1">
        <f t="array" ref="C641">IFERROR(INDEX('03.Muestra'!$F$8:$F$42,SMALL(IF("Página Web"='03.Muestra'!$D$8:$D$42,ROW('03.Muestra'!$F$8:$F$42)-MIN(ROW('03.Muestra'!$D$8:$D$42))+1,""),ROW()-626)),"")</f>
        <v>https://www.comunidad.madrid/hospital/santacristina/nosotros/accesibilidad-hospital</v>
      </c>
      <c r="D641" s="99" t="s">
        <v>104</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CARTERA DE SERVICIOS</v>
      </c>
      <c r="C642" s="85" t="str" cm="1">
        <f t="array" ref="C642">IFERROR(INDEX('03.Muestra'!$F$8:$F$42,SMALL(IF("Página Web"='03.Muestra'!$D$8:$D$42,ROW('03.Muestra'!$F$8:$F$42)-MIN(ROW('03.Muestra'!$D$8:$D$42))+1,""),ROW()-626)),"")</f>
        <v>https://www.comunidad.madrid/hospital/santacristina/nosotros/cartera-servicios</v>
      </c>
      <c r="D642" s="99" t="s">
        <v>104</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CONTACTO</v>
      </c>
      <c r="C643" s="85" t="str" cm="1">
        <f t="array" ref="C643">IFERROR(INDEX('03.Muestra'!$F$8:$F$42,SMALL(IF("Página Web"='03.Muestra'!$D$8:$D$42,ROW('03.Muestra'!$F$8:$F$42)-MIN(ROW('03.Muestra'!$D$8:$D$42))+1,""),ROW()-626)),"")</f>
        <v>https://www.comunidad.madrid/hospital/santacristina/comunicacion/contacto</v>
      </c>
      <c r="D643" s="99" t="s">
        <v>104</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ACCESIBILIDAD</v>
      </c>
      <c r="C644" s="85" t="str" cm="1">
        <f t="array" ref="C644">IFERROR(INDEX('03.Muestra'!$F$8:$F$42,SMALL(IF("Página Web"='03.Muestra'!$D$8:$D$42,ROW('03.Muestra'!$F$8:$F$42)-MIN(ROW('03.Muestra'!$D$8:$D$42))+1,""),ROW()-626)),"")</f>
        <v>https://www.comunidad.madrid/hospital/santacristina/declaracion-accesibilidad</v>
      </c>
      <c r="D644" s="99" t="s">
        <v>104</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LEGAL</v>
      </c>
      <c r="C645" s="85" t="str" cm="1">
        <f t="array" ref="C645">IFERROR(INDEX('03.Muestra'!$F$8:$F$42,SMALL(IF("Página Web"='03.Muestra'!$D$8:$D$42,ROW('03.Muestra'!$F$8:$F$42)-MIN(ROW('03.Muestra'!$D$8:$D$42))+1,""),ROW()-626)),"")</f>
        <v>https://www.comunidad.madrid/hospital/santacristina/ciudadanos/aviso-legal-privacidad</v>
      </c>
      <c r="D645" s="99" t="s">
        <v>104</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MAPA WEB</v>
      </c>
      <c r="C646" s="85" t="str" cm="1">
        <f t="array" ref="C646">IFERROR(INDEX('03.Muestra'!$F$8:$F$42,SMALL(IF("Página Web"='03.Muestra'!$D$8:$D$42,ROW('03.Muestra'!$F$8:$F$42)-MIN(ROW('03.Muestra'!$D$8:$D$42))+1,""),ROW()-626)),"")</f>
        <v>https://www.comunidad.madrid/hospital/santacristina/sitemap</v>
      </c>
      <c r="D646" s="99" t="s">
        <v>104</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https://www.comunidad.madrid/hospital/santacristina/</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https://www.comunidad.madrid/hospital/santacristina/ciudadanos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https://www.comunidad.madrid/hospital/santacristina/profesionales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https://www.comunidad.madrid/hospital/santacristina/comunicacion</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https://www.comunidad.madrid/hospital/santacristina/nosotros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https://www.comunidad.madrid/hospital/santacristina/buscar?search_api_fulltext=&amp;nombre=</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ATENCIÓN AL PACIENTE</v>
      </c>
      <c r="C671" s="85" t="str" cm="1">
        <f t="array" ref="C671">IFERROR(INDEX('03.Muestra'!$F$8:$F$42,SMALL(IF("Página Web"='03.Muestra'!$D$8:$D$42,ROW('03.Muestra'!$F$8:$F$42)-MIN(ROW('03.Muestra'!$D$8:$D$42))+1,""),ROW()-664)),"")</f>
        <v>https://www.comunidad.madrid/hospital/santacristina/ciudadanos/atencion-paciente</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ATENCIÓN ESPIRITUAL</v>
      </c>
      <c r="C672" s="85" t="str" cm="1">
        <f t="array" ref="C672">IFERROR(INDEX('03.Muestra'!$F$8:$F$42,SMALL(IF("Página Web"='03.Muestra'!$D$8:$D$42,ROW('03.Muestra'!$F$8:$F$42)-MIN(ROW('03.Muestra'!$D$8:$D$42))+1,""),ROW()-664)),"")</f>
        <v>https://www.comunidad.madrid/hospital/santacristina/ciudadanos/atencion-espiritual-religiosa</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LOCALIZACIÓN Y ACCESO</v>
      </c>
      <c r="C673" s="85" t="str" cm="1">
        <f t="array" ref="C673">IFERROR(INDEX('03.Muestra'!$F$8:$F$42,SMALL(IF("Página Web"='03.Muestra'!$D$8:$D$42,ROW('03.Muestra'!$F$8:$F$42)-MIN(ROW('03.Muestra'!$D$8:$D$42))+1,""),ROW()-664)),"")</f>
        <v>https://www.comunidad.madrid/hospital/santacristina/ciudadanos/localizacion-acceso</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GUÍAS DE USUARIO</v>
      </c>
      <c r="C674" s="85" t="str" cm="1">
        <f t="array" ref="C674">IFERROR(INDEX('03.Muestra'!$F$8:$F$42,SMALL(IF("Página Web"='03.Muestra'!$D$8:$D$42,ROW('03.Muestra'!$F$8:$F$42)-MIN(ROW('03.Muestra'!$D$8:$D$42))+1,""),ROW()-664)),"")</f>
        <v>https://www.comunidad.madrid/hospital/santacristina/ciudadanos/guias-usuario</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SERVICIOS QUIRÚRGICOS</v>
      </c>
      <c r="C675" s="85" t="str" cm="1">
        <f t="array" ref="C675">IFERROR(INDEX('03.Muestra'!$F$8:$F$42,SMALL(IF("Página Web"='03.Muestra'!$D$8:$D$42,ROW('03.Muestra'!$F$8:$F$42)-MIN(ROW('03.Muestra'!$D$8:$D$42))+1,""),ROW()-664)),"")</f>
        <v>https://www.comunidad.madrid/hospital/santacristina/profesionales/servicios-quirurgicos-0</v>
      </c>
      <c r="D675" s="99" t="s">
        <v>104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INVESTIGACIÓN</v>
      </c>
      <c r="C676" s="85" t="str" cm="1">
        <f t="array" ref="C676">IFERROR(INDEX('03.Muestra'!$F$8:$F$42,SMALL(IF("Página Web"='03.Muestra'!$D$8:$D$42,ROW('03.Muestra'!$F$8:$F$42)-MIN(ROW('03.Muestra'!$D$8:$D$42))+1,""),ROW()-664)),"")</f>
        <v>https://www.comunidad.madrid/hospital/santacristina/profesionales/investigacion-0</v>
      </c>
      <c r="D676" s="99" t="s">
        <v>104</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NOTICIAS</v>
      </c>
      <c r="C677" s="85" t="str" cm="1">
        <f t="array" ref="C677">IFERROR(INDEX('03.Muestra'!$F$8:$F$42,SMALL(IF("Página Web"='03.Muestra'!$D$8:$D$42,ROW('03.Muestra'!$F$8:$F$42)-MIN(ROW('03.Muestra'!$D$8:$D$42))+1,""),ROW()-664)),"")</f>
        <v>https://www.comunidad.madrid/hospital/santacristina/comunicacion/noticias</v>
      </c>
      <c r="D677" s="99" t="s">
        <v>104</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ACTOS DEL CENTENARIO</v>
      </c>
      <c r="C678" s="85" t="str" cm="1">
        <f t="array" ref="C678">IFERROR(INDEX('03.Muestra'!$F$8:$F$42,SMALL(IF("Página Web"='03.Muestra'!$D$8:$D$42,ROW('03.Muestra'!$F$8:$F$42)-MIN(ROW('03.Muestra'!$D$8:$D$42))+1,""),ROW()-664)),"")</f>
        <v>https://www.comunidad.madrid/hospital/santacristina/nosotros/actos-centenario</v>
      </c>
      <c r="D678" s="99" t="s">
        <v>104</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ACCESIBILIDAD HOSPITAL</v>
      </c>
      <c r="C679" s="85" t="str" cm="1">
        <f t="array" ref="C679">IFERROR(INDEX('03.Muestra'!$F$8:$F$42,SMALL(IF("Página Web"='03.Muestra'!$D$8:$D$42,ROW('03.Muestra'!$F$8:$F$42)-MIN(ROW('03.Muestra'!$D$8:$D$42))+1,""),ROW()-664)),"")</f>
        <v>https://www.comunidad.madrid/hospital/santacristina/nosotros/accesibilidad-hospital</v>
      </c>
      <c r="D679" s="99" t="s">
        <v>104</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CARTERA DE SERVICIOS</v>
      </c>
      <c r="C680" s="85" t="str" cm="1">
        <f t="array" ref="C680">IFERROR(INDEX('03.Muestra'!$F$8:$F$42,SMALL(IF("Página Web"='03.Muestra'!$D$8:$D$42,ROW('03.Muestra'!$F$8:$F$42)-MIN(ROW('03.Muestra'!$D$8:$D$42))+1,""),ROW()-664)),"")</f>
        <v>https://www.comunidad.madrid/hospital/santacristina/nosotros/cartera-servicios</v>
      </c>
      <c r="D680" s="99" t="s">
        <v>104</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CONTACTO</v>
      </c>
      <c r="C681" s="85" t="str" cm="1">
        <f t="array" ref="C681">IFERROR(INDEX('03.Muestra'!$F$8:$F$42,SMALL(IF("Página Web"='03.Muestra'!$D$8:$D$42,ROW('03.Muestra'!$F$8:$F$42)-MIN(ROW('03.Muestra'!$D$8:$D$42))+1,""),ROW()-664)),"")</f>
        <v>https://www.comunidad.madrid/hospital/santacristina/comunicacion/contacto</v>
      </c>
      <c r="D681" s="99" t="s">
        <v>104</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ACCESIBILIDAD</v>
      </c>
      <c r="C682" s="85" t="str" cm="1">
        <f t="array" ref="C682">IFERROR(INDEX('03.Muestra'!$F$8:$F$42,SMALL(IF("Página Web"='03.Muestra'!$D$8:$D$42,ROW('03.Muestra'!$F$8:$F$42)-MIN(ROW('03.Muestra'!$D$8:$D$42))+1,""),ROW()-664)),"")</f>
        <v>https://www.comunidad.madrid/hospital/santacristina/declaracion-accesibilidad</v>
      </c>
      <c r="D682" s="99" t="s">
        <v>104</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LEGAL</v>
      </c>
      <c r="C683" s="85" t="str" cm="1">
        <f t="array" ref="C683">IFERROR(INDEX('03.Muestra'!$F$8:$F$42,SMALL(IF("Página Web"='03.Muestra'!$D$8:$D$42,ROW('03.Muestra'!$F$8:$F$42)-MIN(ROW('03.Muestra'!$D$8:$D$42))+1,""),ROW()-664)),"")</f>
        <v>https://www.comunidad.madrid/hospital/santacristina/ciudadanos/aviso-legal-privacidad</v>
      </c>
      <c r="D683" s="99" t="s">
        <v>104</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MAPA WEB</v>
      </c>
      <c r="C684" s="85" t="str" cm="1">
        <f t="array" ref="C684">IFERROR(INDEX('03.Muestra'!$F$8:$F$42,SMALL(IF("Página Web"='03.Muestra'!$D$8:$D$42,ROW('03.Muestra'!$F$8:$F$42)-MIN(ROW('03.Muestra'!$D$8:$D$42))+1,""),ROW()-664)),"")</f>
        <v>https://www.comunidad.madrid/hospital/santacristina/sitemap</v>
      </c>
      <c r="D684" s="99" t="s">
        <v>104</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https://www.comunidad.madrid/hospital/santacristina/</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https://www.comunidad.madrid/hospital/santacristina/ciudadanos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https://www.comunidad.madrid/hospital/santacristina/profesionales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https://www.comunidad.madrid/hospital/santacristina/comunicacion</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https://www.comunidad.madrid/hospital/santacristina/nosotros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https://www.comunidad.madrid/hospital/santacristina/buscar?search_api_fulltext=&amp;nombre=</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ATENCIÓN AL PACIENTE</v>
      </c>
      <c r="C709" s="85" t="str" cm="1">
        <f t="array" ref="C709">IFERROR(INDEX('03.Muestra'!$F$8:$F$42,SMALL(IF("Página Web"='03.Muestra'!$D$8:$D$42,ROW('03.Muestra'!$F$8:$F$42)-MIN(ROW('03.Muestra'!$D$8:$D$42))+1,""),ROW()-702)),"")</f>
        <v>https://www.comunidad.madrid/hospital/santacristina/ciudadanos/atencion-paciente</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ATENCIÓN ESPIRITUAL</v>
      </c>
      <c r="C710" s="85" t="str" cm="1">
        <f t="array" ref="C710">IFERROR(INDEX('03.Muestra'!$F$8:$F$42,SMALL(IF("Página Web"='03.Muestra'!$D$8:$D$42,ROW('03.Muestra'!$F$8:$F$42)-MIN(ROW('03.Muestra'!$D$8:$D$42))+1,""),ROW()-702)),"")</f>
        <v>https://www.comunidad.madrid/hospital/santacristina/ciudadanos/atencion-espiritual-religiosa</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LOCALIZACIÓN Y ACCESO</v>
      </c>
      <c r="C711" s="85" t="str" cm="1">
        <f t="array" ref="C711">IFERROR(INDEX('03.Muestra'!$F$8:$F$42,SMALL(IF("Página Web"='03.Muestra'!$D$8:$D$42,ROW('03.Muestra'!$F$8:$F$42)-MIN(ROW('03.Muestra'!$D$8:$D$42))+1,""),ROW()-702)),"")</f>
        <v>https://www.comunidad.madrid/hospital/santacristina/ciudadanos/localizacion-acceso</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GUÍAS DE USUARIO</v>
      </c>
      <c r="C712" s="85" t="str" cm="1">
        <f t="array" ref="C712">IFERROR(INDEX('03.Muestra'!$F$8:$F$42,SMALL(IF("Página Web"='03.Muestra'!$D$8:$D$42,ROW('03.Muestra'!$F$8:$F$42)-MIN(ROW('03.Muestra'!$D$8:$D$42))+1,""),ROW()-702)),"")</f>
        <v>https://www.comunidad.madrid/hospital/santacristina/ciudadanos/guias-usuario</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SERVICIOS QUIRÚRGICOS</v>
      </c>
      <c r="C713" s="85" t="str" cm="1">
        <f t="array" ref="C713">IFERROR(INDEX('03.Muestra'!$F$8:$F$42,SMALL(IF("Página Web"='03.Muestra'!$D$8:$D$42,ROW('03.Muestra'!$F$8:$F$42)-MIN(ROW('03.Muestra'!$D$8:$D$42))+1,""),ROW()-702)),"")</f>
        <v>https://www.comunidad.madrid/hospital/santacristina/profesionales/servicios-quirurgicos-0</v>
      </c>
      <c r="D713" s="99" t="s">
        <v>104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INVESTIGACIÓN</v>
      </c>
      <c r="C714" s="85" t="str" cm="1">
        <f t="array" ref="C714">IFERROR(INDEX('03.Muestra'!$F$8:$F$42,SMALL(IF("Página Web"='03.Muestra'!$D$8:$D$42,ROW('03.Muestra'!$F$8:$F$42)-MIN(ROW('03.Muestra'!$D$8:$D$42))+1,""),ROW()-702)),"")</f>
        <v>https://www.comunidad.madrid/hospital/santacristina/profesionales/investigacion-0</v>
      </c>
      <c r="D714" s="99" t="s">
        <v>104</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NOTICIAS</v>
      </c>
      <c r="C715" s="85" t="str" cm="1">
        <f t="array" ref="C715">IFERROR(INDEX('03.Muestra'!$F$8:$F$42,SMALL(IF("Página Web"='03.Muestra'!$D$8:$D$42,ROW('03.Muestra'!$F$8:$F$42)-MIN(ROW('03.Muestra'!$D$8:$D$42))+1,""),ROW()-702)),"")</f>
        <v>https://www.comunidad.madrid/hospital/santacristina/comunicacion/noticias</v>
      </c>
      <c r="D715" s="99" t="s">
        <v>104</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ACTOS DEL CENTENARIO</v>
      </c>
      <c r="C716" s="85" t="str" cm="1">
        <f t="array" ref="C716">IFERROR(INDEX('03.Muestra'!$F$8:$F$42,SMALL(IF("Página Web"='03.Muestra'!$D$8:$D$42,ROW('03.Muestra'!$F$8:$F$42)-MIN(ROW('03.Muestra'!$D$8:$D$42))+1,""),ROW()-702)),"")</f>
        <v>https://www.comunidad.madrid/hospital/santacristina/nosotros/actos-centenario</v>
      </c>
      <c r="D716" s="99" t="s">
        <v>104</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ACCESIBILIDAD HOSPITAL</v>
      </c>
      <c r="C717" s="85" t="str" cm="1">
        <f t="array" ref="C717">IFERROR(INDEX('03.Muestra'!$F$8:$F$42,SMALL(IF("Página Web"='03.Muestra'!$D$8:$D$42,ROW('03.Muestra'!$F$8:$F$42)-MIN(ROW('03.Muestra'!$D$8:$D$42))+1,""),ROW()-702)),"")</f>
        <v>https://www.comunidad.madrid/hospital/santacristina/nosotros/accesibilidad-hospital</v>
      </c>
      <c r="D717" s="99" t="s">
        <v>104</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CARTERA DE SERVICIOS</v>
      </c>
      <c r="C718" s="85" t="str" cm="1">
        <f t="array" ref="C718">IFERROR(INDEX('03.Muestra'!$F$8:$F$42,SMALL(IF("Página Web"='03.Muestra'!$D$8:$D$42,ROW('03.Muestra'!$F$8:$F$42)-MIN(ROW('03.Muestra'!$D$8:$D$42))+1,""),ROW()-702)),"")</f>
        <v>https://www.comunidad.madrid/hospital/santacristina/nosotros/cartera-servicios</v>
      </c>
      <c r="D718" s="99" t="s">
        <v>104</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CONTACTO</v>
      </c>
      <c r="C719" s="85" t="str" cm="1">
        <f t="array" ref="C719">IFERROR(INDEX('03.Muestra'!$F$8:$F$42,SMALL(IF("Página Web"='03.Muestra'!$D$8:$D$42,ROW('03.Muestra'!$F$8:$F$42)-MIN(ROW('03.Muestra'!$D$8:$D$42))+1,""),ROW()-702)),"")</f>
        <v>https://www.comunidad.madrid/hospital/santacristina/comunicacion/contacto</v>
      </c>
      <c r="D719" s="99" t="s">
        <v>104</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ACCESIBILIDAD</v>
      </c>
      <c r="C720" s="85" t="str" cm="1">
        <f t="array" ref="C720">IFERROR(INDEX('03.Muestra'!$F$8:$F$42,SMALL(IF("Página Web"='03.Muestra'!$D$8:$D$42,ROW('03.Muestra'!$F$8:$F$42)-MIN(ROW('03.Muestra'!$D$8:$D$42))+1,""),ROW()-702)),"")</f>
        <v>https://www.comunidad.madrid/hospital/santacristina/declaracion-accesibilidad</v>
      </c>
      <c r="D720" s="99" t="s">
        <v>104</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LEGAL</v>
      </c>
      <c r="C721" s="85" t="str" cm="1">
        <f t="array" ref="C721">IFERROR(INDEX('03.Muestra'!$F$8:$F$42,SMALL(IF("Página Web"='03.Muestra'!$D$8:$D$42,ROW('03.Muestra'!$F$8:$F$42)-MIN(ROW('03.Muestra'!$D$8:$D$42))+1,""),ROW()-702)),"")</f>
        <v>https://www.comunidad.madrid/hospital/santacristina/ciudadanos/aviso-legal-privacidad</v>
      </c>
      <c r="D721" s="99" t="s">
        <v>104</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MAPA WEB</v>
      </c>
      <c r="C722" s="85" t="str" cm="1">
        <f t="array" ref="C722">IFERROR(INDEX('03.Muestra'!$F$8:$F$42,SMALL(IF("Página Web"='03.Muestra'!$D$8:$D$42,ROW('03.Muestra'!$F$8:$F$42)-MIN(ROW('03.Muestra'!$D$8:$D$42))+1,""),ROW()-702)),"")</f>
        <v>https://www.comunidad.madrid/hospital/santacristina/sitemap</v>
      </c>
      <c r="D722" s="99" t="s">
        <v>104</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259" zoomScale="85" zoomScaleNormal="85" workbookViewId="0">
      <selection activeCell="D323" sqref="D323:D34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2</v>
      </c>
      <c r="H12" s="42">
        <f ca="1">IF(($G$15+$K$15)=0,0,G12/($G$15+$K$15))</f>
        <v>1.1111111111111112E-2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178</v>
      </c>
      <c r="H14" s="42">
        <f ca="1">IF(($G$15+$K$15)=0,0,G14/($G$15+$K$15))</f>
        <v>0.98888888888888893</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https://www.comunidad.madrid/hospital/santacristina/</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https://www.comunidad.madrid/hospital/santacristina/ciudadanos</v>
      </c>
      <c r="D20" s="99" t="s">
        <v>104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https://www.comunidad.madrid/hospital/santacristina/profesionales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https://www.comunidad.madrid/hospital/santacristina/comunicacion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https://www.comunidad.madrid/hospital/santacristina/nosotros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https://www.comunidad.madrid/hospital/santacristina/buscar?search_api_fulltext=&amp;nombre=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ATENCIÓN AL PACIENTE</v>
      </c>
      <c r="C25" s="85" t="str" cm="1">
        <f t="array" ref="C25">IFERROR(INDEX('03.Muestra'!$F$8:$F$42,SMALL(IF("Página Web"='03.Muestra'!$D$8:$D$42,ROW('03.Muestra'!$F$8:$F$42)-MIN(ROW('03.Muestra'!$D$8:$D$42))+1,""),ROW()-18)),"")</f>
        <v>https://www.comunidad.madrid/hospital/santacristina/ciudadanos/atencion-paciente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ATENCIÓN ESPIRITUAL</v>
      </c>
      <c r="C26" s="85" t="str" cm="1">
        <f t="array" ref="C26">IFERROR(INDEX('03.Muestra'!$F$8:$F$42,SMALL(IF("Página Web"='03.Muestra'!$D$8:$D$42,ROW('03.Muestra'!$F$8:$F$42)-MIN(ROW('03.Muestra'!$D$8:$D$42))+1,""),ROW()-18)),"")</f>
        <v>https://www.comunidad.madrid/hospital/santacristina/ciudadanos/atencion-espiritual-religiosa</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LOCALIZACIÓN Y ACCESO</v>
      </c>
      <c r="C27" s="85" t="str" cm="1">
        <f t="array" ref="C27">IFERROR(INDEX('03.Muestra'!$F$8:$F$42,SMALL(IF("Página Web"='03.Muestra'!$D$8:$D$42,ROW('03.Muestra'!$F$8:$F$42)-MIN(ROW('03.Muestra'!$D$8:$D$42))+1,""),ROW()-18)),"")</f>
        <v>https://www.comunidad.madrid/hospital/santacristina/ciudadanos/localizacion-acceso</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GUÍAS DE USUARIO</v>
      </c>
      <c r="C28" s="85" t="str" cm="1">
        <f t="array" ref="C28">IFERROR(INDEX('03.Muestra'!$F$8:$F$42,SMALL(IF("Página Web"='03.Muestra'!$D$8:$D$42,ROW('03.Muestra'!$F$8:$F$42)-MIN(ROW('03.Muestra'!$D$8:$D$42))+1,""),ROW()-18)),"")</f>
        <v>https://www.comunidad.madrid/hospital/santacristina/ciudadanos/guias-usuario</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SERVICIOS QUIRÚRGICOS</v>
      </c>
      <c r="C29" s="85" t="str" cm="1">
        <f t="array" ref="C29">IFERROR(INDEX('03.Muestra'!$F$8:$F$42,SMALL(IF("Página Web"='03.Muestra'!$D$8:$D$42,ROW('03.Muestra'!$F$8:$F$42)-MIN(ROW('03.Muestra'!$D$8:$D$42))+1,""),ROW()-18)),"")</f>
        <v>https://www.comunidad.madrid/hospital/santacristina/profesionales/servicios-quirurgicos-0</v>
      </c>
      <c r="D29" s="99" t="s">
        <v>104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INVESTIGACIÓN</v>
      </c>
      <c r="C30" s="85" t="str" cm="1">
        <f t="array" ref="C30">IFERROR(INDEX('03.Muestra'!$F$8:$F$42,SMALL(IF("Página Web"='03.Muestra'!$D$8:$D$42,ROW('03.Muestra'!$F$8:$F$42)-MIN(ROW('03.Muestra'!$D$8:$D$42))+1,""),ROW()-18)),"")</f>
        <v>https://www.comunidad.madrid/hospital/santacristina/profesionales/investigacion-0</v>
      </c>
      <c r="D30" s="99" t="s">
        <v>104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NOTICIAS</v>
      </c>
      <c r="C31" s="85" t="str" cm="1">
        <f t="array" ref="C31">IFERROR(INDEX('03.Muestra'!$F$8:$F$42,SMALL(IF("Página Web"='03.Muestra'!$D$8:$D$42,ROW('03.Muestra'!$F$8:$F$42)-MIN(ROW('03.Muestra'!$D$8:$D$42))+1,""),ROW()-18)),"")</f>
        <v>https://www.comunidad.madrid/hospital/santacristina/comunicacion/noticias</v>
      </c>
      <c r="D31" s="99" t="s">
        <v>104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ACTOS DEL CENTENARIO</v>
      </c>
      <c r="C32" s="85" t="str" cm="1">
        <f t="array" ref="C32">IFERROR(INDEX('03.Muestra'!$F$8:$F$42,SMALL(IF("Página Web"='03.Muestra'!$D$8:$D$42,ROW('03.Muestra'!$F$8:$F$42)-MIN(ROW('03.Muestra'!$D$8:$D$42))+1,""),ROW()-18)),"")</f>
        <v>https://www.comunidad.madrid/hospital/santacristina/nosotros/actos-centenario</v>
      </c>
      <c r="D32" s="99" t="s">
        <v>92</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ACCESIBILIDAD HOSPITAL</v>
      </c>
      <c r="C33" s="85" t="str" cm="1">
        <f t="array" ref="C33">IFERROR(INDEX('03.Muestra'!$F$8:$F$42,SMALL(IF("Página Web"='03.Muestra'!$D$8:$D$42,ROW('03.Muestra'!$F$8:$F$42)-MIN(ROW('03.Muestra'!$D$8:$D$42))+1,""),ROW()-18)),"")</f>
        <v>https://www.comunidad.madrid/hospital/santacristina/nosotros/accesibilidad-hospital</v>
      </c>
      <c r="D33" s="99" t="s">
        <v>104</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CARTERA DE SERVICIOS</v>
      </c>
      <c r="C34" s="85" t="str" cm="1">
        <f t="array" ref="C34">IFERROR(INDEX('03.Muestra'!$F$8:$F$42,SMALL(IF("Página Web"='03.Muestra'!$D$8:$D$42,ROW('03.Muestra'!$F$8:$F$42)-MIN(ROW('03.Muestra'!$D$8:$D$42))+1,""),ROW()-18)),"")</f>
        <v>https://www.comunidad.madrid/hospital/santacristina/nosotros/cartera-servicios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CONTACTO</v>
      </c>
      <c r="C35" s="85" t="str" cm="1">
        <f t="array" ref="C35">IFERROR(INDEX('03.Muestra'!$F$8:$F$42,SMALL(IF("Página Web"='03.Muestra'!$D$8:$D$42,ROW('03.Muestra'!$F$8:$F$42)-MIN(ROW('03.Muestra'!$D$8:$D$42))+1,""),ROW()-18)),"")</f>
        <v>https://www.comunidad.madrid/hospital/santacristina/comunicacion/contacto</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https://www.comunidad.madrid/hospital/santacristina/declaracion-accesibilidad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LEGAL</v>
      </c>
      <c r="C37" s="85" t="str" cm="1">
        <f t="array" ref="C37">IFERROR(INDEX('03.Muestra'!$F$8:$F$42,SMALL(IF("Página Web"='03.Muestra'!$D$8:$D$42,ROW('03.Muestra'!$F$8:$F$42)-MIN(ROW('03.Muestra'!$D$8:$D$42))+1,""),ROW()-18)),"")</f>
        <v>https://www.comunidad.madrid/hospital/santacristina/ciudadanos/aviso-legal-privacidad</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MAPA WEB</v>
      </c>
      <c r="C38" s="85" t="str" cm="1">
        <f t="array" ref="C38">IFERROR(INDEX('03.Muestra'!$F$8:$F$42,SMALL(IF("Página Web"='03.Muestra'!$D$8:$D$42,ROW('03.Muestra'!$F$8:$F$42)-MIN(ROW('03.Muestra'!$D$8:$D$42))+1,""),ROW()-18)),"")</f>
        <v>https://www.comunidad.madrid/hospital/santacristina/sitemap</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https://www.comunidad.madrid/hospital/santacristina/</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https://www.comunidad.madrid/hospital/santacristina/ciudadanos</v>
      </c>
      <c r="D58" s="99" t="s">
        <v>104</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https://www.comunidad.madrid/hospital/santacristina/profesionales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https://www.comunidad.madrid/hospital/santacristina/comunicacion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https://www.comunidad.madrid/hospital/santacristina/nosotros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https://www.comunidad.madrid/hospital/santacristina/buscar?search_api_fulltext=&amp;nombre=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ATENCIÓN AL PACIENTE</v>
      </c>
      <c r="C63" s="85" t="str" cm="1">
        <f t="array" ref="C63">IFERROR(INDEX('03.Muestra'!$F$8:$F$42,SMALL(IF("Página Web"='03.Muestra'!$D$8:$D$42,ROW('03.Muestra'!$F$8:$F$42)-MIN(ROW('03.Muestra'!$D$8:$D$42))+1,""),ROW()-56)),"")</f>
        <v>https://www.comunidad.madrid/hospital/santacristina/ciudadanos/atencion-paciente</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ATENCIÓN ESPIRITUAL</v>
      </c>
      <c r="C64" s="85" t="str" cm="1">
        <f t="array" ref="C64">IFERROR(INDEX('03.Muestra'!$F$8:$F$42,SMALL(IF("Página Web"='03.Muestra'!$D$8:$D$42,ROW('03.Muestra'!$F$8:$F$42)-MIN(ROW('03.Muestra'!$D$8:$D$42))+1,""),ROW()-56)),"")</f>
        <v>https://www.comunidad.madrid/hospital/santacristina/ciudadanos/atencion-espiritual-religiosa</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LOCALIZACIÓN Y ACCESO</v>
      </c>
      <c r="C65" s="85" t="str" cm="1">
        <f t="array" ref="C65">IFERROR(INDEX('03.Muestra'!$F$8:$F$42,SMALL(IF("Página Web"='03.Muestra'!$D$8:$D$42,ROW('03.Muestra'!$F$8:$F$42)-MIN(ROW('03.Muestra'!$D$8:$D$42))+1,""),ROW()-56)),"")</f>
        <v>https://www.comunidad.madrid/hospital/santacristina/ciudadanos/localizacion-acceso</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GUÍAS DE USUARIO</v>
      </c>
      <c r="C66" s="85" t="str" cm="1">
        <f t="array" ref="C66">IFERROR(INDEX('03.Muestra'!$F$8:$F$42,SMALL(IF("Página Web"='03.Muestra'!$D$8:$D$42,ROW('03.Muestra'!$F$8:$F$42)-MIN(ROW('03.Muestra'!$D$8:$D$42))+1,""),ROW()-56)),"")</f>
        <v>https://www.comunidad.madrid/hospital/santacristina/ciudadanos/guias-usuario</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SERVICIOS QUIRÚRGICOS</v>
      </c>
      <c r="C67" s="85" t="str" cm="1">
        <f t="array" ref="C67">IFERROR(INDEX('03.Muestra'!$F$8:$F$42,SMALL(IF("Página Web"='03.Muestra'!$D$8:$D$42,ROW('03.Muestra'!$F$8:$F$42)-MIN(ROW('03.Muestra'!$D$8:$D$42))+1,""),ROW()-56)),"")</f>
        <v>https://www.comunidad.madrid/hospital/santacristina/profesionales/servicios-quirurgicos-0</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INVESTIGACIÓN</v>
      </c>
      <c r="C68" s="85" t="str" cm="1">
        <f t="array" ref="C68">IFERROR(INDEX('03.Muestra'!$F$8:$F$42,SMALL(IF("Página Web"='03.Muestra'!$D$8:$D$42,ROW('03.Muestra'!$F$8:$F$42)-MIN(ROW('03.Muestra'!$D$8:$D$42))+1,""),ROW()-56)),"")</f>
        <v>https://www.comunidad.madrid/hospital/santacristina/profesionales/investigacion-0</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NOTICIAS</v>
      </c>
      <c r="C69" s="85" t="str" cm="1">
        <f t="array" ref="C69">IFERROR(INDEX('03.Muestra'!$F$8:$F$42,SMALL(IF("Página Web"='03.Muestra'!$D$8:$D$42,ROW('03.Muestra'!$F$8:$F$42)-MIN(ROW('03.Muestra'!$D$8:$D$42))+1,""),ROW()-56)),"")</f>
        <v>https://www.comunidad.madrid/hospital/santacristina/comunicacion/noticias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ACTOS DEL CENTENARIO</v>
      </c>
      <c r="C70" s="85" t="str" cm="1">
        <f t="array" ref="C70">IFERROR(INDEX('03.Muestra'!$F$8:$F$42,SMALL(IF("Página Web"='03.Muestra'!$D$8:$D$42,ROW('03.Muestra'!$F$8:$F$42)-MIN(ROW('03.Muestra'!$D$8:$D$42))+1,""),ROW()-56)),"")</f>
        <v>https://www.comunidad.madrid/hospital/santacristina/nosotros/actos-centenario</v>
      </c>
      <c r="D70" s="99" t="s">
        <v>92</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ACCESIBILIDAD HOSPITAL</v>
      </c>
      <c r="C71" s="85" t="str" cm="1">
        <f t="array" ref="C71">IFERROR(INDEX('03.Muestra'!$F$8:$F$42,SMALL(IF("Página Web"='03.Muestra'!$D$8:$D$42,ROW('03.Muestra'!$F$8:$F$42)-MIN(ROW('03.Muestra'!$D$8:$D$42))+1,""),ROW()-56)),"")</f>
        <v>https://www.comunidad.madrid/hospital/santacristina/nosotros/accesibilidad-hospital</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CARTERA DE SERVICIOS</v>
      </c>
      <c r="C72" s="85" t="str" cm="1">
        <f t="array" ref="C72">IFERROR(INDEX('03.Muestra'!$F$8:$F$42,SMALL(IF("Página Web"='03.Muestra'!$D$8:$D$42,ROW('03.Muestra'!$F$8:$F$42)-MIN(ROW('03.Muestra'!$D$8:$D$42))+1,""),ROW()-56)),"")</f>
        <v>https://www.comunidad.madrid/hospital/santacristina/nosotros/cartera-servicios</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CONTACTO</v>
      </c>
      <c r="C73" s="85" t="str" cm="1">
        <f t="array" ref="C73">IFERROR(INDEX('03.Muestra'!$F$8:$F$42,SMALL(IF("Página Web"='03.Muestra'!$D$8:$D$42,ROW('03.Muestra'!$F$8:$F$42)-MIN(ROW('03.Muestra'!$D$8:$D$42))+1,""),ROW()-56)),"")</f>
        <v>https://www.comunidad.madrid/hospital/santacristina/comunicacion/contacto</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https://www.comunidad.madrid/hospital/santacristina/declaracion-accesibilidad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LEGAL</v>
      </c>
      <c r="C75" s="85" t="str" cm="1">
        <f t="array" ref="C75">IFERROR(INDEX('03.Muestra'!$F$8:$F$42,SMALL(IF("Página Web"='03.Muestra'!$D$8:$D$42,ROW('03.Muestra'!$F$8:$F$42)-MIN(ROW('03.Muestra'!$D$8:$D$42))+1,""),ROW()-56)),"")</f>
        <v>https://www.comunidad.madrid/hospital/santacristina/ciudadanos/aviso-legal-privacidad</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MAPA WEB</v>
      </c>
      <c r="C76" s="85" t="str" cm="1">
        <f t="array" ref="C76">IFERROR(INDEX('03.Muestra'!$F$8:$F$42,SMALL(IF("Página Web"='03.Muestra'!$D$8:$D$42,ROW('03.Muestra'!$F$8:$F$42)-MIN(ROW('03.Muestra'!$D$8:$D$42))+1,""),ROW()-56)),"")</f>
        <v>https://www.comunidad.madrid/hospital/santacristina/sitemap</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https://www.comunidad.madrid/hospital/santacristina/</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https://www.comunidad.madrid/hospital/santacristina/ciudadanos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https://www.comunidad.madrid/hospital/santacristina/profesionales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https://www.comunidad.madrid/hospital/santacristina/comunicacion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https://www.comunidad.madrid/hospital/santacristina/nosotros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https://www.comunidad.madrid/hospital/santacristina/buscar?search_api_fulltext=&amp;nombre=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ATENCIÓN AL PACIENTE</v>
      </c>
      <c r="C101" s="85" t="str" cm="1">
        <f t="array" ref="C101">IFERROR(INDEX('03.Muestra'!$F$8:$F$42,SMALL(IF("Página Web"='03.Muestra'!$D$8:$D$42,ROW('03.Muestra'!$F$8:$F$42)-MIN(ROW('03.Muestra'!$D$8:$D$42))+1,""),ROW()-94)),"")</f>
        <v>https://www.comunidad.madrid/hospital/santacristina/ciudadanos/atencion-paciente</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ATENCIÓN ESPIRITUAL</v>
      </c>
      <c r="C102" s="85" t="str" cm="1">
        <f t="array" ref="C102">IFERROR(INDEX('03.Muestra'!$F$8:$F$42,SMALL(IF("Página Web"='03.Muestra'!$D$8:$D$42,ROW('03.Muestra'!$F$8:$F$42)-MIN(ROW('03.Muestra'!$D$8:$D$42))+1,""),ROW()-94)),"")</f>
        <v>https://www.comunidad.madrid/hospital/santacristina/ciudadanos/atencion-espiritual-religiosa</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LOCALIZACIÓN Y ACCESO</v>
      </c>
      <c r="C103" s="85" t="str" cm="1">
        <f t="array" ref="C103">IFERROR(INDEX('03.Muestra'!$F$8:$F$42,SMALL(IF("Página Web"='03.Muestra'!$D$8:$D$42,ROW('03.Muestra'!$F$8:$F$42)-MIN(ROW('03.Muestra'!$D$8:$D$42))+1,""),ROW()-94)),"")</f>
        <v>https://www.comunidad.madrid/hospital/santacristina/ciudadanos/localizacion-acceso</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GUÍAS DE USUARIO</v>
      </c>
      <c r="C104" s="85" t="str" cm="1">
        <f t="array" ref="C104">IFERROR(INDEX('03.Muestra'!$F$8:$F$42,SMALL(IF("Página Web"='03.Muestra'!$D$8:$D$42,ROW('03.Muestra'!$F$8:$F$42)-MIN(ROW('03.Muestra'!$D$8:$D$42))+1,""),ROW()-94)),"")</f>
        <v>https://www.comunidad.madrid/hospital/santacristina/ciudadanos/guias-usuario</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SERVICIOS QUIRÚRGICOS</v>
      </c>
      <c r="C105" s="85" t="str" cm="1">
        <f t="array" ref="C105">IFERROR(INDEX('03.Muestra'!$F$8:$F$42,SMALL(IF("Página Web"='03.Muestra'!$D$8:$D$42,ROW('03.Muestra'!$F$8:$F$42)-MIN(ROW('03.Muestra'!$D$8:$D$42))+1,""),ROW()-94)),"")</f>
        <v>https://www.comunidad.madrid/hospital/santacristina/profesionales/servicios-quirurgicos-0</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INVESTIGACIÓN</v>
      </c>
      <c r="C106" s="85" t="str" cm="1">
        <f t="array" ref="C106">IFERROR(INDEX('03.Muestra'!$F$8:$F$42,SMALL(IF("Página Web"='03.Muestra'!$D$8:$D$42,ROW('03.Muestra'!$F$8:$F$42)-MIN(ROW('03.Muestra'!$D$8:$D$42))+1,""),ROW()-94)),"")</f>
        <v>https://www.comunidad.madrid/hospital/santacristina/profesionales/investigacion-0</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NOTICIAS</v>
      </c>
      <c r="C107" s="85" t="str" cm="1">
        <f t="array" ref="C107">IFERROR(INDEX('03.Muestra'!$F$8:$F$42,SMALL(IF("Página Web"='03.Muestra'!$D$8:$D$42,ROW('03.Muestra'!$F$8:$F$42)-MIN(ROW('03.Muestra'!$D$8:$D$42))+1,""),ROW()-94)),"")</f>
        <v>https://www.comunidad.madrid/hospital/santacristina/comunicacion/noticias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ACTOS DEL CENTENARIO</v>
      </c>
      <c r="C108" s="85" t="str" cm="1">
        <f t="array" ref="C108">IFERROR(INDEX('03.Muestra'!$F$8:$F$42,SMALL(IF("Página Web"='03.Muestra'!$D$8:$D$42,ROW('03.Muestra'!$F$8:$F$42)-MIN(ROW('03.Muestra'!$D$8:$D$42))+1,""),ROW()-94)),"")</f>
        <v>https://www.comunidad.madrid/hospital/santacristina/nosotros/actos-centenario</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ACCESIBILIDAD HOSPITAL</v>
      </c>
      <c r="C109" s="85" t="str" cm="1">
        <f t="array" ref="C109">IFERROR(INDEX('03.Muestra'!$F$8:$F$42,SMALL(IF("Página Web"='03.Muestra'!$D$8:$D$42,ROW('03.Muestra'!$F$8:$F$42)-MIN(ROW('03.Muestra'!$D$8:$D$42))+1,""),ROW()-94)),"")</f>
        <v>https://www.comunidad.madrid/hospital/santacristina/nosotros/accesibilidad-hospital</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CARTERA DE SERVICIOS</v>
      </c>
      <c r="C110" s="85" t="str" cm="1">
        <f t="array" ref="C110">IFERROR(INDEX('03.Muestra'!$F$8:$F$42,SMALL(IF("Página Web"='03.Muestra'!$D$8:$D$42,ROW('03.Muestra'!$F$8:$F$42)-MIN(ROW('03.Muestra'!$D$8:$D$42))+1,""),ROW()-94)),"")</f>
        <v>https://www.comunidad.madrid/hospital/santacristina/nosotros/cartera-servicios</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CONTACTO</v>
      </c>
      <c r="C111" s="85" t="str" cm="1">
        <f t="array" ref="C111">IFERROR(INDEX('03.Muestra'!$F$8:$F$42,SMALL(IF("Página Web"='03.Muestra'!$D$8:$D$42,ROW('03.Muestra'!$F$8:$F$42)-MIN(ROW('03.Muestra'!$D$8:$D$42))+1,""),ROW()-94)),"")</f>
        <v>https://www.comunidad.madrid/hospital/santacristina/comunicacion/contacto</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https://www.comunidad.madrid/hospital/santacristina/declaracion-accesibilidad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LEGAL</v>
      </c>
      <c r="C113" s="85" t="str" cm="1">
        <f t="array" ref="C113">IFERROR(INDEX('03.Muestra'!$F$8:$F$42,SMALL(IF("Página Web"='03.Muestra'!$D$8:$D$42,ROW('03.Muestra'!$F$8:$F$42)-MIN(ROW('03.Muestra'!$D$8:$D$42))+1,""),ROW()-94)),"")</f>
        <v>https://www.comunidad.madrid/hospital/santacristina/ciudadanos/aviso-legal-privacidad</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MAPA WEB</v>
      </c>
      <c r="C114" s="85" t="str" cm="1">
        <f t="array" ref="C114">IFERROR(INDEX('03.Muestra'!$F$8:$F$42,SMALL(IF("Página Web"='03.Muestra'!$D$8:$D$42,ROW('03.Muestra'!$F$8:$F$42)-MIN(ROW('03.Muestra'!$D$8:$D$42))+1,""),ROW()-94)),"")</f>
        <v>https://www.comunidad.madrid/hospital/santacristina/sitemap</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https://www.comunidad.madrid/hospital/santacristina/</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https://www.comunidad.madrid/hospital/santacristina/ciudadanos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https://www.comunidad.madrid/hospital/santacristina/profesionales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https://www.comunidad.madrid/hospital/santacristina/comunicacion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https://www.comunidad.madrid/hospital/santacristina/nosotros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https://www.comunidad.madrid/hospital/santacristina/buscar?search_api_fulltext=&amp;nombre=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ATENCIÓN AL PACIENTE</v>
      </c>
      <c r="C139" s="85" t="str" cm="1">
        <f t="array" ref="C139">IFERROR(INDEX('03.Muestra'!$F$8:$F$42,SMALL(IF("Página Web"='03.Muestra'!$D$8:$D$42,ROW('03.Muestra'!$F$8:$F$42)-MIN(ROW('03.Muestra'!$D$8:$D$42))+1,""),ROW()-132)),"")</f>
        <v>https://www.comunidad.madrid/hospital/santacristina/ciudadanos/atencion-paciente</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ATENCIÓN ESPIRITUAL</v>
      </c>
      <c r="C140" s="85" t="str" cm="1">
        <f t="array" ref="C140">IFERROR(INDEX('03.Muestra'!$F$8:$F$42,SMALL(IF("Página Web"='03.Muestra'!$D$8:$D$42,ROW('03.Muestra'!$F$8:$F$42)-MIN(ROW('03.Muestra'!$D$8:$D$42))+1,""),ROW()-132)),"")</f>
        <v>https://www.comunidad.madrid/hospital/santacristina/ciudadanos/atencion-espiritual-religiosa</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LOCALIZACIÓN Y ACCESO</v>
      </c>
      <c r="C141" s="85" t="str" cm="1">
        <f t="array" ref="C141">IFERROR(INDEX('03.Muestra'!$F$8:$F$42,SMALL(IF("Página Web"='03.Muestra'!$D$8:$D$42,ROW('03.Muestra'!$F$8:$F$42)-MIN(ROW('03.Muestra'!$D$8:$D$42))+1,""),ROW()-132)),"")</f>
        <v>https://www.comunidad.madrid/hospital/santacristina/ciudadanos/localizacion-acceso</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GUÍAS DE USUARIO</v>
      </c>
      <c r="C142" s="85" t="str" cm="1">
        <f t="array" ref="C142">IFERROR(INDEX('03.Muestra'!$F$8:$F$42,SMALL(IF("Página Web"='03.Muestra'!$D$8:$D$42,ROW('03.Muestra'!$F$8:$F$42)-MIN(ROW('03.Muestra'!$D$8:$D$42))+1,""),ROW()-132)),"")</f>
        <v>https://www.comunidad.madrid/hospital/santacristina/ciudadanos/guias-usuario</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SERVICIOS QUIRÚRGICOS</v>
      </c>
      <c r="C143" s="85" t="str" cm="1">
        <f t="array" ref="C143">IFERROR(INDEX('03.Muestra'!$F$8:$F$42,SMALL(IF("Página Web"='03.Muestra'!$D$8:$D$42,ROW('03.Muestra'!$F$8:$F$42)-MIN(ROW('03.Muestra'!$D$8:$D$42))+1,""),ROW()-132)),"")</f>
        <v>https://www.comunidad.madrid/hospital/santacristina/profesionales/servicios-quirurgicos-0</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INVESTIGACIÓN</v>
      </c>
      <c r="C144" s="85" t="str" cm="1">
        <f t="array" ref="C144">IFERROR(INDEX('03.Muestra'!$F$8:$F$42,SMALL(IF("Página Web"='03.Muestra'!$D$8:$D$42,ROW('03.Muestra'!$F$8:$F$42)-MIN(ROW('03.Muestra'!$D$8:$D$42))+1,""),ROW()-132)),"")</f>
        <v>https://www.comunidad.madrid/hospital/santacristina/profesionales/investigacion-0</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NOTICIAS</v>
      </c>
      <c r="C145" s="85" t="str" cm="1">
        <f t="array" ref="C145">IFERROR(INDEX('03.Muestra'!$F$8:$F$42,SMALL(IF("Página Web"='03.Muestra'!$D$8:$D$42,ROW('03.Muestra'!$F$8:$F$42)-MIN(ROW('03.Muestra'!$D$8:$D$42))+1,""),ROW()-132)),"")</f>
        <v>https://www.comunidad.madrid/hospital/santacristina/comunicacion/noticias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ACTOS DEL CENTENARIO</v>
      </c>
      <c r="C146" s="85" t="str" cm="1">
        <f t="array" ref="C146">IFERROR(INDEX('03.Muestra'!$F$8:$F$42,SMALL(IF("Página Web"='03.Muestra'!$D$8:$D$42,ROW('03.Muestra'!$F$8:$F$42)-MIN(ROW('03.Muestra'!$D$8:$D$42))+1,""),ROW()-132)),"")</f>
        <v>https://www.comunidad.madrid/hospital/santacristina/nosotros/actos-centenario</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ACCESIBILIDAD HOSPITAL</v>
      </c>
      <c r="C147" s="85" t="str" cm="1">
        <f t="array" ref="C147">IFERROR(INDEX('03.Muestra'!$F$8:$F$42,SMALL(IF("Página Web"='03.Muestra'!$D$8:$D$42,ROW('03.Muestra'!$F$8:$F$42)-MIN(ROW('03.Muestra'!$D$8:$D$42))+1,""),ROW()-132)),"")</f>
        <v>https://www.comunidad.madrid/hospital/santacristina/nosotros/accesibilidad-hospital</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CARTERA DE SERVICIOS</v>
      </c>
      <c r="C148" s="85" t="str" cm="1">
        <f t="array" ref="C148">IFERROR(INDEX('03.Muestra'!$F$8:$F$42,SMALL(IF("Página Web"='03.Muestra'!$D$8:$D$42,ROW('03.Muestra'!$F$8:$F$42)-MIN(ROW('03.Muestra'!$D$8:$D$42))+1,""),ROW()-132)),"")</f>
        <v>https://www.comunidad.madrid/hospital/santacristina/nosotros/cartera-servicios</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CONTACTO</v>
      </c>
      <c r="C149" s="85" t="str" cm="1">
        <f t="array" ref="C149">IFERROR(INDEX('03.Muestra'!$F$8:$F$42,SMALL(IF("Página Web"='03.Muestra'!$D$8:$D$42,ROW('03.Muestra'!$F$8:$F$42)-MIN(ROW('03.Muestra'!$D$8:$D$42))+1,""),ROW()-132)),"")</f>
        <v>https://www.comunidad.madrid/hospital/santacristina/comunicacion/contacto</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https://www.comunidad.madrid/hospital/santacristina/declaracion-accesibilidad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LEGAL</v>
      </c>
      <c r="C151" s="85" t="str" cm="1">
        <f t="array" ref="C151">IFERROR(INDEX('03.Muestra'!$F$8:$F$42,SMALL(IF("Página Web"='03.Muestra'!$D$8:$D$42,ROW('03.Muestra'!$F$8:$F$42)-MIN(ROW('03.Muestra'!$D$8:$D$42))+1,""),ROW()-132)),"")</f>
        <v>https://www.comunidad.madrid/hospital/santacristina/ciudadanos/aviso-legal-privacidad</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MAPA WEB</v>
      </c>
      <c r="C152" s="85" t="str" cm="1">
        <f t="array" ref="C152">IFERROR(INDEX('03.Muestra'!$F$8:$F$42,SMALL(IF("Página Web"='03.Muestra'!$D$8:$D$42,ROW('03.Muestra'!$F$8:$F$42)-MIN(ROW('03.Muestra'!$D$8:$D$42))+1,""),ROW()-132)),"")</f>
        <v>https://www.comunidad.madrid/hospital/santacristina/sitemap</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https://www.comunidad.madrid/hospital/santacristina/</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https://www.comunidad.madrid/hospital/santacristina/ciudadanos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https://www.comunidad.madrid/hospital/santacristina/profesionales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https://www.comunidad.madrid/hospital/santacristina/comunicacion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https://www.comunidad.madrid/hospital/santacristina/nosotros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https://www.comunidad.madrid/hospital/santacristina/buscar?search_api_fulltext=&amp;nombre=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ATENCIÓN AL PACIENTE</v>
      </c>
      <c r="C177" s="85" t="str" cm="1">
        <f t="array" ref="C177">IFERROR(INDEX('03.Muestra'!$F$8:$F$42,SMALL(IF("Página Web"='03.Muestra'!$D$8:$D$42,ROW('03.Muestra'!$F$8:$F$42)-MIN(ROW('03.Muestra'!$D$8:$D$42))+1,""),ROW()-170)),"")</f>
        <v>https://www.comunidad.madrid/hospital/santacristina/ciudadanos/atencion-paciente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ATENCIÓN ESPIRITUAL</v>
      </c>
      <c r="C178" s="85" t="str" cm="1">
        <f t="array" ref="C178">IFERROR(INDEX('03.Muestra'!$F$8:$F$42,SMALL(IF("Página Web"='03.Muestra'!$D$8:$D$42,ROW('03.Muestra'!$F$8:$F$42)-MIN(ROW('03.Muestra'!$D$8:$D$42))+1,""),ROW()-170)),"")</f>
        <v>https://www.comunidad.madrid/hospital/santacristina/ciudadanos/atencion-espiritual-religiosa</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LOCALIZACIÓN Y ACCESO</v>
      </c>
      <c r="C179" s="85" t="str" cm="1">
        <f t="array" ref="C179">IFERROR(INDEX('03.Muestra'!$F$8:$F$42,SMALL(IF("Página Web"='03.Muestra'!$D$8:$D$42,ROW('03.Muestra'!$F$8:$F$42)-MIN(ROW('03.Muestra'!$D$8:$D$42))+1,""),ROW()-170)),"")</f>
        <v>https://www.comunidad.madrid/hospital/santacristina/ciudadanos/localizacion-acceso</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GUÍAS DE USUARIO</v>
      </c>
      <c r="C180" s="85" t="str" cm="1">
        <f t="array" ref="C180">IFERROR(INDEX('03.Muestra'!$F$8:$F$42,SMALL(IF("Página Web"='03.Muestra'!$D$8:$D$42,ROW('03.Muestra'!$F$8:$F$42)-MIN(ROW('03.Muestra'!$D$8:$D$42))+1,""),ROW()-170)),"")</f>
        <v>https://www.comunidad.madrid/hospital/santacristina/ciudadanos/guias-usuario</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SERVICIOS QUIRÚRGICOS</v>
      </c>
      <c r="C181" s="85" t="str" cm="1">
        <f t="array" ref="C181">IFERROR(INDEX('03.Muestra'!$F$8:$F$42,SMALL(IF("Página Web"='03.Muestra'!$D$8:$D$42,ROW('03.Muestra'!$F$8:$F$42)-MIN(ROW('03.Muestra'!$D$8:$D$42))+1,""),ROW()-170)),"")</f>
        <v>https://www.comunidad.madrid/hospital/santacristina/profesionales/servicios-quirurgicos-0</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INVESTIGACIÓN</v>
      </c>
      <c r="C182" s="85" t="str" cm="1">
        <f t="array" ref="C182">IFERROR(INDEX('03.Muestra'!$F$8:$F$42,SMALL(IF("Página Web"='03.Muestra'!$D$8:$D$42,ROW('03.Muestra'!$F$8:$F$42)-MIN(ROW('03.Muestra'!$D$8:$D$42))+1,""),ROW()-170)),"")</f>
        <v>https://www.comunidad.madrid/hospital/santacristina/profesionales/investigacion-0</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NOTICIAS</v>
      </c>
      <c r="C183" s="85" t="str" cm="1">
        <f t="array" ref="C183">IFERROR(INDEX('03.Muestra'!$F$8:$F$42,SMALL(IF("Página Web"='03.Muestra'!$D$8:$D$42,ROW('03.Muestra'!$F$8:$F$42)-MIN(ROW('03.Muestra'!$D$8:$D$42))+1,""),ROW()-170)),"")</f>
        <v>https://www.comunidad.madrid/hospital/santacristina/comunicacion/noticias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ACTOS DEL CENTENARIO</v>
      </c>
      <c r="C184" s="85" t="str" cm="1">
        <f t="array" ref="C184">IFERROR(INDEX('03.Muestra'!$F$8:$F$42,SMALL(IF("Página Web"='03.Muestra'!$D$8:$D$42,ROW('03.Muestra'!$F$8:$F$42)-MIN(ROW('03.Muestra'!$D$8:$D$42))+1,""),ROW()-170)),"")</f>
        <v>https://www.comunidad.madrid/hospital/santacristina/nosotros/actos-centenario</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ACCESIBILIDAD HOSPITAL</v>
      </c>
      <c r="C185" s="85" t="str" cm="1">
        <f t="array" ref="C185">IFERROR(INDEX('03.Muestra'!$F$8:$F$42,SMALL(IF("Página Web"='03.Muestra'!$D$8:$D$42,ROW('03.Muestra'!$F$8:$F$42)-MIN(ROW('03.Muestra'!$D$8:$D$42))+1,""),ROW()-170)),"")</f>
        <v>https://www.comunidad.madrid/hospital/santacristina/nosotros/accesibilidad-hospital</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CARTERA DE SERVICIOS</v>
      </c>
      <c r="C186" s="85" t="str" cm="1">
        <f t="array" ref="C186">IFERROR(INDEX('03.Muestra'!$F$8:$F$42,SMALL(IF("Página Web"='03.Muestra'!$D$8:$D$42,ROW('03.Muestra'!$F$8:$F$42)-MIN(ROW('03.Muestra'!$D$8:$D$42))+1,""),ROW()-170)),"")</f>
        <v>https://www.comunidad.madrid/hospital/santacristina/nosotros/cartera-servicios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CONTACTO</v>
      </c>
      <c r="C187" s="85" t="str" cm="1">
        <f t="array" ref="C187">IFERROR(INDEX('03.Muestra'!$F$8:$F$42,SMALL(IF("Página Web"='03.Muestra'!$D$8:$D$42,ROW('03.Muestra'!$F$8:$F$42)-MIN(ROW('03.Muestra'!$D$8:$D$42))+1,""),ROW()-170)),"")</f>
        <v>https://www.comunidad.madrid/hospital/santacristina/comunicacion/contacto</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https://www.comunidad.madrid/hospital/santacristina/declaracion-accesibilidad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LEGAL</v>
      </c>
      <c r="C189" s="85" t="str" cm="1">
        <f t="array" ref="C189">IFERROR(INDEX('03.Muestra'!$F$8:$F$42,SMALL(IF("Página Web"='03.Muestra'!$D$8:$D$42,ROW('03.Muestra'!$F$8:$F$42)-MIN(ROW('03.Muestra'!$D$8:$D$42))+1,""),ROW()-170)),"")</f>
        <v>https://www.comunidad.madrid/hospital/santacristina/ciudadanos/aviso-legal-privacidad</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MAPA WEB</v>
      </c>
      <c r="C190" s="85" t="str" cm="1">
        <f t="array" ref="C190">IFERROR(INDEX('03.Muestra'!$F$8:$F$42,SMALL(IF("Página Web"='03.Muestra'!$D$8:$D$42,ROW('03.Muestra'!$F$8:$F$42)-MIN(ROW('03.Muestra'!$D$8:$D$42))+1,""),ROW()-170)),"")</f>
        <v>https://www.comunidad.madrid/hospital/santacristina/sitemap</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https://www.comunidad.madrid/hospital/santacristina/</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https://www.comunidad.madrid/hospital/santacristina/ciudadanos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https://www.comunidad.madrid/hospital/santacristina/profesionales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https://www.comunidad.madrid/hospital/santacristina/comunicacion</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https://www.comunidad.madrid/hospital/santacristina/nosotros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https://www.comunidad.madrid/hospital/santacristina/buscar?search_api_fulltext=&amp;nombre=</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ATENCIÓN AL PACIENTE</v>
      </c>
      <c r="C215" s="85" t="str" cm="1">
        <f t="array" ref="C215">IFERROR(INDEX('03.Muestra'!$F$8:$F$42,SMALL(IF("Página Web"='03.Muestra'!$D$8:$D$42,ROW('03.Muestra'!$F$8:$F$42)-MIN(ROW('03.Muestra'!$D$8:$D$42))+1,""),ROW()-208)),"")</f>
        <v>https://www.comunidad.madrid/hospital/santacristina/ciudadanos/atencion-paciente</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ATENCIÓN ESPIRITUAL</v>
      </c>
      <c r="C216" s="85" t="str" cm="1">
        <f t="array" ref="C216">IFERROR(INDEX('03.Muestra'!$F$8:$F$42,SMALL(IF("Página Web"='03.Muestra'!$D$8:$D$42,ROW('03.Muestra'!$F$8:$F$42)-MIN(ROW('03.Muestra'!$D$8:$D$42))+1,""),ROW()-208)),"")</f>
        <v>https://www.comunidad.madrid/hospital/santacristina/ciudadanos/atencion-espiritual-religiosa</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LOCALIZACIÓN Y ACCESO</v>
      </c>
      <c r="C217" s="85" t="str" cm="1">
        <f t="array" ref="C217">IFERROR(INDEX('03.Muestra'!$F$8:$F$42,SMALL(IF("Página Web"='03.Muestra'!$D$8:$D$42,ROW('03.Muestra'!$F$8:$F$42)-MIN(ROW('03.Muestra'!$D$8:$D$42))+1,""),ROW()-208)),"")</f>
        <v>https://www.comunidad.madrid/hospital/santacristina/ciudadanos/localizacion-acceso</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GUÍAS DE USUARIO</v>
      </c>
      <c r="C218" s="85" t="str" cm="1">
        <f t="array" ref="C218">IFERROR(INDEX('03.Muestra'!$F$8:$F$42,SMALL(IF("Página Web"='03.Muestra'!$D$8:$D$42,ROW('03.Muestra'!$F$8:$F$42)-MIN(ROW('03.Muestra'!$D$8:$D$42))+1,""),ROW()-208)),"")</f>
        <v>https://www.comunidad.madrid/hospital/santacristina/ciudadanos/guias-usuario</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SERVICIOS QUIRÚRGICOS</v>
      </c>
      <c r="C219" s="85" t="str" cm="1">
        <f t="array" ref="C219">IFERROR(INDEX('03.Muestra'!$F$8:$F$42,SMALL(IF("Página Web"='03.Muestra'!$D$8:$D$42,ROW('03.Muestra'!$F$8:$F$42)-MIN(ROW('03.Muestra'!$D$8:$D$42))+1,""),ROW()-208)),"")</f>
        <v>https://www.comunidad.madrid/hospital/santacristina/profesionales/servicios-quirurgicos-0</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INVESTIGACIÓN</v>
      </c>
      <c r="C220" s="85" t="str" cm="1">
        <f t="array" ref="C220">IFERROR(INDEX('03.Muestra'!$F$8:$F$42,SMALL(IF("Página Web"='03.Muestra'!$D$8:$D$42,ROW('03.Muestra'!$F$8:$F$42)-MIN(ROW('03.Muestra'!$D$8:$D$42))+1,""),ROW()-208)),"")</f>
        <v>https://www.comunidad.madrid/hospital/santacristina/profesionales/investigacion-0</v>
      </c>
      <c r="D220" s="99" t="s">
        <v>104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NOTICIAS</v>
      </c>
      <c r="C221" s="85" t="str" cm="1">
        <f t="array" ref="C221">IFERROR(INDEX('03.Muestra'!$F$8:$F$42,SMALL(IF("Página Web"='03.Muestra'!$D$8:$D$42,ROW('03.Muestra'!$F$8:$F$42)-MIN(ROW('03.Muestra'!$D$8:$D$42))+1,""),ROW()-208)),"")</f>
        <v>https://www.comunidad.madrid/hospital/santacristina/comunicacion/noticias</v>
      </c>
      <c r="D221" s="99" t="s">
        <v>104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ACTOS DEL CENTENARIO</v>
      </c>
      <c r="C222" s="85" t="str" cm="1">
        <f t="array" ref="C222">IFERROR(INDEX('03.Muestra'!$F$8:$F$42,SMALL(IF("Página Web"='03.Muestra'!$D$8:$D$42,ROW('03.Muestra'!$F$8:$F$42)-MIN(ROW('03.Muestra'!$D$8:$D$42))+1,""),ROW()-208)),"")</f>
        <v>https://www.comunidad.madrid/hospital/santacristina/nosotros/actos-centenario</v>
      </c>
      <c r="D222" s="99" t="s">
        <v>104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ACCESIBILIDAD HOSPITAL</v>
      </c>
      <c r="C223" s="85" t="str" cm="1">
        <f t="array" ref="C223">IFERROR(INDEX('03.Muestra'!$F$8:$F$42,SMALL(IF("Página Web"='03.Muestra'!$D$8:$D$42,ROW('03.Muestra'!$F$8:$F$42)-MIN(ROW('03.Muestra'!$D$8:$D$42))+1,""),ROW()-208)),"")</f>
        <v>https://www.comunidad.madrid/hospital/santacristina/nosotros/accesibilidad-hospital</v>
      </c>
      <c r="D223" s="99" t="s">
        <v>104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CARTERA DE SERVICIOS</v>
      </c>
      <c r="C224" s="85" t="str" cm="1">
        <f t="array" ref="C224">IFERROR(INDEX('03.Muestra'!$F$8:$F$42,SMALL(IF("Página Web"='03.Muestra'!$D$8:$D$42,ROW('03.Muestra'!$F$8:$F$42)-MIN(ROW('03.Muestra'!$D$8:$D$42))+1,""),ROW()-208)),"")</f>
        <v>https://www.comunidad.madrid/hospital/santacristina/nosotros/cartera-servicios</v>
      </c>
      <c r="D224" s="99" t="s">
        <v>104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CONTACTO</v>
      </c>
      <c r="C225" s="85" t="str" cm="1">
        <f t="array" ref="C225">IFERROR(INDEX('03.Muestra'!$F$8:$F$42,SMALL(IF("Página Web"='03.Muestra'!$D$8:$D$42,ROW('03.Muestra'!$F$8:$F$42)-MIN(ROW('03.Muestra'!$D$8:$D$42))+1,""),ROW()-208)),"")</f>
        <v>https://www.comunidad.madrid/hospital/santacristina/comunicacion/contacto</v>
      </c>
      <c r="D225" s="99" t="s">
        <v>104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https://www.comunidad.madrid/hospital/santacristina/declaracion-accesibilidad</v>
      </c>
      <c r="D226" s="99" t="s">
        <v>104</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LEGAL</v>
      </c>
      <c r="C227" s="85" t="str" cm="1">
        <f t="array" ref="C227">IFERROR(INDEX('03.Muestra'!$F$8:$F$42,SMALL(IF("Página Web"='03.Muestra'!$D$8:$D$42,ROW('03.Muestra'!$F$8:$F$42)-MIN(ROW('03.Muestra'!$D$8:$D$42))+1,""),ROW()-208)),"")</f>
        <v>https://www.comunidad.madrid/hospital/santacristina/ciudadanos/aviso-legal-privacidad</v>
      </c>
      <c r="D227" s="99" t="s">
        <v>104</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MAPA WEB</v>
      </c>
      <c r="C228" s="85" t="str" cm="1">
        <f t="array" ref="C228">IFERROR(INDEX('03.Muestra'!$F$8:$F$42,SMALL(IF("Página Web"='03.Muestra'!$D$8:$D$42,ROW('03.Muestra'!$F$8:$F$42)-MIN(ROW('03.Muestra'!$D$8:$D$42))+1,""),ROW()-208)),"")</f>
        <v>https://www.comunidad.madrid/hospital/santacristina/sitemap</v>
      </c>
      <c r="D228" s="99" t="s">
        <v>104</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https://www.comunidad.madrid/hospital/santacristina/</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https://www.comunidad.madrid/hospital/santacristina/ciudadanos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https://www.comunidad.madrid/hospital/santacristina/profesionales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https://www.comunidad.madrid/hospital/santacristina/comunicacion</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https://www.comunidad.madrid/hospital/santacristina/nosotros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https://www.comunidad.madrid/hospital/santacristina/buscar?search_api_fulltext=&amp;nombre=</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ATENCIÓN AL PACIENTE</v>
      </c>
      <c r="C253" s="85" t="str" cm="1">
        <f t="array" ref="C253">IFERROR(INDEX('03.Muestra'!$F$8:$F$42,SMALL(IF("Página Web"='03.Muestra'!$D$8:$D$42,ROW('03.Muestra'!$F$8:$F$42)-MIN(ROW('03.Muestra'!$D$8:$D$42))+1,""),ROW()-246)),"")</f>
        <v>https://www.comunidad.madrid/hospital/santacristina/ciudadanos/atencion-paciente</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ATENCIÓN ESPIRITUAL</v>
      </c>
      <c r="C254" s="85" t="str" cm="1">
        <f t="array" ref="C254">IFERROR(INDEX('03.Muestra'!$F$8:$F$42,SMALL(IF("Página Web"='03.Muestra'!$D$8:$D$42,ROW('03.Muestra'!$F$8:$F$42)-MIN(ROW('03.Muestra'!$D$8:$D$42))+1,""),ROW()-246)),"")</f>
        <v>https://www.comunidad.madrid/hospital/santacristina/ciudadanos/atencion-espiritual-religiosa</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LOCALIZACIÓN Y ACCESO</v>
      </c>
      <c r="C255" s="85" t="str" cm="1">
        <f t="array" ref="C255">IFERROR(INDEX('03.Muestra'!$F$8:$F$42,SMALL(IF("Página Web"='03.Muestra'!$D$8:$D$42,ROW('03.Muestra'!$F$8:$F$42)-MIN(ROW('03.Muestra'!$D$8:$D$42))+1,""),ROW()-246)),"")</f>
        <v>https://www.comunidad.madrid/hospital/santacristina/ciudadanos/localizacion-acceso</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GUÍAS DE USUARIO</v>
      </c>
      <c r="C256" s="85" t="str" cm="1">
        <f t="array" ref="C256">IFERROR(INDEX('03.Muestra'!$F$8:$F$42,SMALL(IF("Página Web"='03.Muestra'!$D$8:$D$42,ROW('03.Muestra'!$F$8:$F$42)-MIN(ROW('03.Muestra'!$D$8:$D$42))+1,""),ROW()-246)),"")</f>
        <v>https://www.comunidad.madrid/hospital/santacristina/ciudadanos/guias-usuario</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SERVICIOS QUIRÚRGICOS</v>
      </c>
      <c r="C257" s="85" t="str" cm="1">
        <f t="array" ref="C257">IFERROR(INDEX('03.Muestra'!$F$8:$F$42,SMALL(IF("Página Web"='03.Muestra'!$D$8:$D$42,ROW('03.Muestra'!$F$8:$F$42)-MIN(ROW('03.Muestra'!$D$8:$D$42))+1,""),ROW()-246)),"")</f>
        <v>https://www.comunidad.madrid/hospital/santacristina/profesionales/servicios-quirurgicos-0</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INVESTIGACIÓN</v>
      </c>
      <c r="C258" s="85" t="str" cm="1">
        <f t="array" ref="C258">IFERROR(INDEX('03.Muestra'!$F$8:$F$42,SMALL(IF("Página Web"='03.Muestra'!$D$8:$D$42,ROW('03.Muestra'!$F$8:$F$42)-MIN(ROW('03.Muestra'!$D$8:$D$42))+1,""),ROW()-246)),"")</f>
        <v>https://www.comunidad.madrid/hospital/santacristina/profesionales/investigacion-0</v>
      </c>
      <c r="D258" s="99" t="s">
        <v>104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NOTICIAS</v>
      </c>
      <c r="C259" s="85" t="str" cm="1">
        <f t="array" ref="C259">IFERROR(INDEX('03.Muestra'!$F$8:$F$42,SMALL(IF("Página Web"='03.Muestra'!$D$8:$D$42,ROW('03.Muestra'!$F$8:$F$42)-MIN(ROW('03.Muestra'!$D$8:$D$42))+1,""),ROW()-246)),"")</f>
        <v>https://www.comunidad.madrid/hospital/santacristina/comunicacion/noticias</v>
      </c>
      <c r="D259" s="99" t="s">
        <v>104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ACTOS DEL CENTENARIO</v>
      </c>
      <c r="C260" s="85" t="str" cm="1">
        <f t="array" ref="C260">IFERROR(INDEX('03.Muestra'!$F$8:$F$42,SMALL(IF("Página Web"='03.Muestra'!$D$8:$D$42,ROW('03.Muestra'!$F$8:$F$42)-MIN(ROW('03.Muestra'!$D$8:$D$42))+1,""),ROW()-246)),"")</f>
        <v>https://www.comunidad.madrid/hospital/santacristina/nosotros/actos-centenario</v>
      </c>
      <c r="D260" s="99" t="s">
        <v>104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ACCESIBILIDAD HOSPITAL</v>
      </c>
      <c r="C261" s="85" t="str" cm="1">
        <f t="array" ref="C261">IFERROR(INDEX('03.Muestra'!$F$8:$F$42,SMALL(IF("Página Web"='03.Muestra'!$D$8:$D$42,ROW('03.Muestra'!$F$8:$F$42)-MIN(ROW('03.Muestra'!$D$8:$D$42))+1,""),ROW()-246)),"")</f>
        <v>https://www.comunidad.madrid/hospital/santacristina/nosotros/accesibilidad-hospital</v>
      </c>
      <c r="D261" s="99" t="s">
        <v>104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CARTERA DE SERVICIOS</v>
      </c>
      <c r="C262" s="85" t="str" cm="1">
        <f t="array" ref="C262">IFERROR(INDEX('03.Muestra'!$F$8:$F$42,SMALL(IF("Página Web"='03.Muestra'!$D$8:$D$42,ROW('03.Muestra'!$F$8:$F$42)-MIN(ROW('03.Muestra'!$D$8:$D$42))+1,""),ROW()-246)),"")</f>
        <v>https://www.comunidad.madrid/hospital/santacristina/nosotros/cartera-servicios</v>
      </c>
      <c r="D262" s="99" t="s">
        <v>104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CONTACTO</v>
      </c>
      <c r="C263" s="85" t="str" cm="1">
        <f t="array" ref="C263">IFERROR(INDEX('03.Muestra'!$F$8:$F$42,SMALL(IF("Página Web"='03.Muestra'!$D$8:$D$42,ROW('03.Muestra'!$F$8:$F$42)-MIN(ROW('03.Muestra'!$D$8:$D$42))+1,""),ROW()-246)),"")</f>
        <v>https://www.comunidad.madrid/hospital/santacristina/comunicacion/contacto</v>
      </c>
      <c r="D263" s="99" t="s">
        <v>104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ACCESIBILIDAD</v>
      </c>
      <c r="C264" s="85" t="str" cm="1">
        <f t="array" ref="C264">IFERROR(INDEX('03.Muestra'!$F$8:$F$42,SMALL(IF("Página Web"='03.Muestra'!$D$8:$D$42,ROW('03.Muestra'!$F$8:$F$42)-MIN(ROW('03.Muestra'!$D$8:$D$42))+1,""),ROW()-246)),"")</f>
        <v>https://www.comunidad.madrid/hospital/santacristina/declaracion-accesibilidad</v>
      </c>
      <c r="D264" s="99" t="s">
        <v>104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LEGAL</v>
      </c>
      <c r="C265" s="85" t="str" cm="1">
        <f t="array" ref="C265">IFERROR(INDEX('03.Muestra'!$F$8:$F$42,SMALL(IF("Página Web"='03.Muestra'!$D$8:$D$42,ROW('03.Muestra'!$F$8:$F$42)-MIN(ROW('03.Muestra'!$D$8:$D$42))+1,""),ROW()-246)),"")</f>
        <v>https://www.comunidad.madrid/hospital/santacristina/ciudadanos/aviso-legal-privacidad</v>
      </c>
      <c r="D265" s="99" t="s">
        <v>104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MAPA WEB</v>
      </c>
      <c r="C266" s="85" t="str" cm="1">
        <f t="array" ref="C266">IFERROR(INDEX('03.Muestra'!$F$8:$F$42,SMALL(IF("Página Web"='03.Muestra'!$D$8:$D$42,ROW('03.Muestra'!$F$8:$F$42)-MIN(ROW('03.Muestra'!$D$8:$D$42))+1,""),ROW()-246)),"")</f>
        <v>https://www.comunidad.madrid/hospital/santacristina/sitemap</v>
      </c>
      <c r="D266" s="99" t="s">
        <v>104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https://www.comunidad.madrid/hospital/santacristina/</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https://www.comunidad.madrid/hospital/santacristina/ciudadanos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https://www.comunidad.madrid/hospital/santacristina/profesionales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https://www.comunidad.madrid/hospital/santacristina/comunicacion</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https://www.comunidad.madrid/hospital/santacristina/nosotros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https://www.comunidad.madrid/hospital/santacristina/buscar?search_api_fulltext=&amp;nombre=</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ATENCIÓN AL PACIENTE</v>
      </c>
      <c r="C291" s="85" t="str" cm="1">
        <f t="array" ref="C291">IFERROR(INDEX('03.Muestra'!$F$8:$F$42,SMALL(IF("Página Web"='03.Muestra'!$D$8:$D$42,ROW('03.Muestra'!$F$8:$F$42)-MIN(ROW('03.Muestra'!$D$8:$D$42))+1,""),ROW()-284)),"")</f>
        <v>https://www.comunidad.madrid/hospital/santacristina/ciudadanos/atencion-paciente</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ATENCIÓN ESPIRITUAL</v>
      </c>
      <c r="C292" s="85" t="str" cm="1">
        <f t="array" ref="C292">IFERROR(INDEX('03.Muestra'!$F$8:$F$42,SMALL(IF("Página Web"='03.Muestra'!$D$8:$D$42,ROW('03.Muestra'!$F$8:$F$42)-MIN(ROW('03.Muestra'!$D$8:$D$42))+1,""),ROW()-284)),"")</f>
        <v>https://www.comunidad.madrid/hospital/santacristina/ciudadanos/atencion-espiritual-religiosa</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LOCALIZACIÓN Y ACCESO</v>
      </c>
      <c r="C293" s="85" t="str" cm="1">
        <f t="array" ref="C293">IFERROR(INDEX('03.Muestra'!$F$8:$F$42,SMALL(IF("Página Web"='03.Muestra'!$D$8:$D$42,ROW('03.Muestra'!$F$8:$F$42)-MIN(ROW('03.Muestra'!$D$8:$D$42))+1,""),ROW()-284)),"")</f>
        <v>https://www.comunidad.madrid/hospital/santacristina/ciudadanos/localizacion-acceso</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GUÍAS DE USUARIO</v>
      </c>
      <c r="C294" s="85" t="str" cm="1">
        <f t="array" ref="C294">IFERROR(INDEX('03.Muestra'!$F$8:$F$42,SMALL(IF("Página Web"='03.Muestra'!$D$8:$D$42,ROW('03.Muestra'!$F$8:$F$42)-MIN(ROW('03.Muestra'!$D$8:$D$42))+1,""),ROW()-284)),"")</f>
        <v>https://www.comunidad.madrid/hospital/santacristina/ciudadanos/guias-usuario</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SERVICIOS QUIRÚRGICOS</v>
      </c>
      <c r="C295" s="85" t="str" cm="1">
        <f t="array" ref="C295">IFERROR(INDEX('03.Muestra'!$F$8:$F$42,SMALL(IF("Página Web"='03.Muestra'!$D$8:$D$42,ROW('03.Muestra'!$F$8:$F$42)-MIN(ROW('03.Muestra'!$D$8:$D$42))+1,""),ROW()-284)),"")</f>
        <v>https://www.comunidad.madrid/hospital/santacristina/profesionales/servicios-quirurgicos-0</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INVESTIGACIÓN</v>
      </c>
      <c r="C296" s="85" t="str" cm="1">
        <f t="array" ref="C296">IFERROR(INDEX('03.Muestra'!$F$8:$F$42,SMALL(IF("Página Web"='03.Muestra'!$D$8:$D$42,ROW('03.Muestra'!$F$8:$F$42)-MIN(ROW('03.Muestra'!$D$8:$D$42))+1,""),ROW()-284)),"")</f>
        <v>https://www.comunidad.madrid/hospital/santacristina/profesionales/investigacion-0</v>
      </c>
      <c r="D296" s="99" t="s">
        <v>104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NOTICIAS</v>
      </c>
      <c r="C297" s="85" t="str" cm="1">
        <f t="array" ref="C297">IFERROR(INDEX('03.Muestra'!$F$8:$F$42,SMALL(IF("Página Web"='03.Muestra'!$D$8:$D$42,ROW('03.Muestra'!$F$8:$F$42)-MIN(ROW('03.Muestra'!$D$8:$D$42))+1,""),ROW()-284)),"")</f>
        <v>https://www.comunidad.madrid/hospital/santacristina/comunicacion/noticias</v>
      </c>
      <c r="D297" s="99" t="s">
        <v>104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ACTOS DEL CENTENARIO</v>
      </c>
      <c r="C298" s="85" t="str" cm="1">
        <f t="array" ref="C298">IFERROR(INDEX('03.Muestra'!$F$8:$F$42,SMALL(IF("Página Web"='03.Muestra'!$D$8:$D$42,ROW('03.Muestra'!$F$8:$F$42)-MIN(ROW('03.Muestra'!$D$8:$D$42))+1,""),ROW()-284)),"")</f>
        <v>https://www.comunidad.madrid/hospital/santacristina/nosotros/actos-centenario</v>
      </c>
      <c r="D298" s="99" t="s">
        <v>104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ACCESIBILIDAD HOSPITAL</v>
      </c>
      <c r="C299" s="85" t="str" cm="1">
        <f t="array" ref="C299">IFERROR(INDEX('03.Muestra'!$F$8:$F$42,SMALL(IF("Página Web"='03.Muestra'!$D$8:$D$42,ROW('03.Muestra'!$F$8:$F$42)-MIN(ROW('03.Muestra'!$D$8:$D$42))+1,""),ROW()-284)),"")</f>
        <v>https://www.comunidad.madrid/hospital/santacristina/nosotros/accesibilidad-hospital</v>
      </c>
      <c r="D299" s="99" t="s">
        <v>104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CARTERA DE SERVICIOS</v>
      </c>
      <c r="C300" s="85" t="str" cm="1">
        <f t="array" ref="C300">IFERROR(INDEX('03.Muestra'!$F$8:$F$42,SMALL(IF("Página Web"='03.Muestra'!$D$8:$D$42,ROW('03.Muestra'!$F$8:$F$42)-MIN(ROW('03.Muestra'!$D$8:$D$42))+1,""),ROW()-284)),"")</f>
        <v>https://www.comunidad.madrid/hospital/santacristina/nosotros/cartera-servicios</v>
      </c>
      <c r="D300" s="99" t="s">
        <v>104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CONTACTO</v>
      </c>
      <c r="C301" s="85" t="str" cm="1">
        <f t="array" ref="C301">IFERROR(INDEX('03.Muestra'!$F$8:$F$42,SMALL(IF("Página Web"='03.Muestra'!$D$8:$D$42,ROW('03.Muestra'!$F$8:$F$42)-MIN(ROW('03.Muestra'!$D$8:$D$42))+1,""),ROW()-284)),"")</f>
        <v>https://www.comunidad.madrid/hospital/santacristina/comunicacion/contacto</v>
      </c>
      <c r="D301" s="99" t="s">
        <v>104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ACCESIBILIDAD</v>
      </c>
      <c r="C302" s="85" t="str" cm="1">
        <f t="array" ref="C302">IFERROR(INDEX('03.Muestra'!$F$8:$F$42,SMALL(IF("Página Web"='03.Muestra'!$D$8:$D$42,ROW('03.Muestra'!$F$8:$F$42)-MIN(ROW('03.Muestra'!$D$8:$D$42))+1,""),ROW()-284)),"")</f>
        <v>https://www.comunidad.madrid/hospital/santacristina/declaracion-accesibilidad</v>
      </c>
      <c r="D302" s="99" t="s">
        <v>104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LEGAL</v>
      </c>
      <c r="C303" s="85" t="str" cm="1">
        <f t="array" ref="C303">IFERROR(INDEX('03.Muestra'!$F$8:$F$42,SMALL(IF("Página Web"='03.Muestra'!$D$8:$D$42,ROW('03.Muestra'!$F$8:$F$42)-MIN(ROW('03.Muestra'!$D$8:$D$42))+1,""),ROW()-284)),"")</f>
        <v>https://www.comunidad.madrid/hospital/santacristina/ciudadanos/aviso-legal-privacidad</v>
      </c>
      <c r="D303" s="99" t="s">
        <v>104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MAPA WEB</v>
      </c>
      <c r="C304" s="85" t="str" cm="1">
        <f t="array" ref="C304">IFERROR(INDEX('03.Muestra'!$F$8:$F$42,SMALL(IF("Página Web"='03.Muestra'!$D$8:$D$42,ROW('03.Muestra'!$F$8:$F$42)-MIN(ROW('03.Muestra'!$D$8:$D$42))+1,""),ROW()-284)),"")</f>
        <v>https://www.comunidad.madrid/hospital/santacristina/sitemap</v>
      </c>
      <c r="D304" s="99" t="s">
        <v>104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https://www.comunidad.madrid/hospital/santacristina/</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https://www.comunidad.madrid/hospital/santacristina/ciudadanos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https://www.comunidad.madrid/hospital/santacristina/profesionales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https://www.comunidad.madrid/hospital/santacristina/comunicacion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https://www.comunidad.madrid/hospital/santacristina/nosotros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https://www.comunidad.madrid/hospital/santacristina/buscar?search_api_fulltext=&amp;nombre=</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ATENCIÓN AL PACIENTE</v>
      </c>
      <c r="C329" s="85" t="str" cm="1">
        <f t="array" ref="C329">IFERROR(INDEX('03.Muestra'!$F$8:$F$42,SMALL(IF("Página Web"='03.Muestra'!$D$8:$D$42,ROW('03.Muestra'!$F$8:$F$42)-MIN(ROW('03.Muestra'!$D$8:$D$42))+1,""),ROW()-322)),"")</f>
        <v>https://www.comunidad.madrid/hospital/santacristina/ciudadanos/atencion-paciente</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ATENCIÓN ESPIRITUAL</v>
      </c>
      <c r="C330" s="85" t="str" cm="1">
        <f t="array" ref="C330">IFERROR(INDEX('03.Muestra'!$F$8:$F$42,SMALL(IF("Página Web"='03.Muestra'!$D$8:$D$42,ROW('03.Muestra'!$F$8:$F$42)-MIN(ROW('03.Muestra'!$D$8:$D$42))+1,""),ROW()-322)),"")</f>
        <v>https://www.comunidad.madrid/hospital/santacristina/ciudadanos/atencion-espiritual-religiosa</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LOCALIZACIÓN Y ACCESO</v>
      </c>
      <c r="C331" s="85" t="str" cm="1">
        <f t="array" ref="C331">IFERROR(INDEX('03.Muestra'!$F$8:$F$42,SMALL(IF("Página Web"='03.Muestra'!$D$8:$D$42,ROW('03.Muestra'!$F$8:$F$42)-MIN(ROW('03.Muestra'!$D$8:$D$42))+1,""),ROW()-322)),"")</f>
        <v>https://www.comunidad.madrid/hospital/santacristina/ciudadanos/localizacion-acceso</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GUÍAS DE USUARIO</v>
      </c>
      <c r="C332" s="85" t="str" cm="1">
        <f t="array" ref="C332">IFERROR(INDEX('03.Muestra'!$F$8:$F$42,SMALL(IF("Página Web"='03.Muestra'!$D$8:$D$42,ROW('03.Muestra'!$F$8:$F$42)-MIN(ROW('03.Muestra'!$D$8:$D$42))+1,""),ROW()-322)),"")</f>
        <v>https://www.comunidad.madrid/hospital/santacristina/ciudadanos/guias-usuario</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SERVICIOS QUIRÚRGICOS</v>
      </c>
      <c r="C333" s="85" t="str" cm="1">
        <f t="array" ref="C333">IFERROR(INDEX('03.Muestra'!$F$8:$F$42,SMALL(IF("Página Web"='03.Muestra'!$D$8:$D$42,ROW('03.Muestra'!$F$8:$F$42)-MIN(ROW('03.Muestra'!$D$8:$D$42))+1,""),ROW()-322)),"")</f>
        <v>https://www.comunidad.madrid/hospital/santacristina/profesionales/servicios-quirurgicos-0</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INVESTIGACIÓN</v>
      </c>
      <c r="C334" s="85" t="str" cm="1">
        <f t="array" ref="C334">IFERROR(INDEX('03.Muestra'!$F$8:$F$42,SMALL(IF("Página Web"='03.Muestra'!$D$8:$D$42,ROW('03.Muestra'!$F$8:$F$42)-MIN(ROW('03.Muestra'!$D$8:$D$42))+1,""),ROW()-322)),"")</f>
        <v>https://www.comunidad.madrid/hospital/santacristina/profesionales/investigacion-0</v>
      </c>
      <c r="D334" s="99" t="s">
        <v>104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NOTICIAS</v>
      </c>
      <c r="C335" s="85" t="str" cm="1">
        <f t="array" ref="C335">IFERROR(INDEX('03.Muestra'!$F$8:$F$42,SMALL(IF("Página Web"='03.Muestra'!$D$8:$D$42,ROW('03.Muestra'!$F$8:$F$42)-MIN(ROW('03.Muestra'!$D$8:$D$42))+1,""),ROW()-322)),"")</f>
        <v>https://www.comunidad.madrid/hospital/santacristina/comunicacion/noticias</v>
      </c>
      <c r="D335" s="99" t="s">
        <v>104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ACTOS DEL CENTENARIO</v>
      </c>
      <c r="C336" s="85" t="str" cm="1">
        <f t="array" ref="C336">IFERROR(INDEX('03.Muestra'!$F$8:$F$42,SMALL(IF("Página Web"='03.Muestra'!$D$8:$D$42,ROW('03.Muestra'!$F$8:$F$42)-MIN(ROW('03.Muestra'!$D$8:$D$42))+1,""),ROW()-322)),"")</f>
        <v>https://www.comunidad.madrid/hospital/santacristina/nosotros/actos-centenario</v>
      </c>
      <c r="D336" s="99" t="s">
        <v>104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ACCESIBILIDAD HOSPITAL</v>
      </c>
      <c r="C337" s="85" t="str" cm="1">
        <f t="array" ref="C337">IFERROR(INDEX('03.Muestra'!$F$8:$F$42,SMALL(IF("Página Web"='03.Muestra'!$D$8:$D$42,ROW('03.Muestra'!$F$8:$F$42)-MIN(ROW('03.Muestra'!$D$8:$D$42))+1,""),ROW()-322)),"")</f>
        <v>https://www.comunidad.madrid/hospital/santacristina/nosotros/accesibilidad-hospital</v>
      </c>
      <c r="D337" s="99" t="s">
        <v>104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CARTERA DE SERVICIOS</v>
      </c>
      <c r="C338" s="85" t="str" cm="1">
        <f t="array" ref="C338">IFERROR(INDEX('03.Muestra'!$F$8:$F$42,SMALL(IF("Página Web"='03.Muestra'!$D$8:$D$42,ROW('03.Muestra'!$F$8:$F$42)-MIN(ROW('03.Muestra'!$D$8:$D$42))+1,""),ROW()-322)),"")</f>
        <v>https://www.comunidad.madrid/hospital/santacristina/nosotros/cartera-servicios</v>
      </c>
      <c r="D338" s="99" t="s">
        <v>104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CONTACTO</v>
      </c>
      <c r="C339" s="85" t="str" cm="1">
        <f t="array" ref="C339">IFERROR(INDEX('03.Muestra'!$F$8:$F$42,SMALL(IF("Página Web"='03.Muestra'!$D$8:$D$42,ROW('03.Muestra'!$F$8:$F$42)-MIN(ROW('03.Muestra'!$D$8:$D$42))+1,""),ROW()-322)),"")</f>
        <v>https://www.comunidad.madrid/hospital/santacristina/comunicacion/contacto</v>
      </c>
      <c r="D339" s="99" t="s">
        <v>104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ACCESIBILIDAD</v>
      </c>
      <c r="C340" s="85" t="str" cm="1">
        <f t="array" ref="C340">IFERROR(INDEX('03.Muestra'!$F$8:$F$42,SMALL(IF("Página Web"='03.Muestra'!$D$8:$D$42,ROW('03.Muestra'!$F$8:$F$42)-MIN(ROW('03.Muestra'!$D$8:$D$42))+1,""),ROW()-322)),"")</f>
        <v>https://www.comunidad.madrid/hospital/santacristina/declaracion-accesibilidad</v>
      </c>
      <c r="D340" s="99" t="s">
        <v>104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LEGAL</v>
      </c>
      <c r="C341" s="85" t="str" cm="1">
        <f t="array" ref="C341">IFERROR(INDEX('03.Muestra'!$F$8:$F$42,SMALL(IF("Página Web"='03.Muestra'!$D$8:$D$42,ROW('03.Muestra'!$F$8:$F$42)-MIN(ROW('03.Muestra'!$D$8:$D$42))+1,""),ROW()-322)),"")</f>
        <v>https://www.comunidad.madrid/hospital/santacristina/ciudadanos/aviso-legal-privacidad</v>
      </c>
      <c r="D341" s="99" t="s">
        <v>104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MAPA WEB</v>
      </c>
      <c r="C342" s="85" t="str" cm="1">
        <f t="array" ref="C342">IFERROR(INDEX('03.Muestra'!$F$8:$F$42,SMALL(IF("Página Web"='03.Muestra'!$D$8:$D$42,ROW('03.Muestra'!$F$8:$F$42)-MIN(ROW('03.Muestra'!$D$8:$D$42))+1,""),ROW()-322)),"")</f>
        <v>https://www.comunidad.madrid/hospital/santacristina/sitemap</v>
      </c>
      <c r="D342" s="99" t="s">
        <v>104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72" zoomScale="90" zoomScaleNormal="90" workbookViewId="0">
      <selection activeCell="D1881" sqref="D1881:D190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280</v>
      </c>
      <c r="H12" s="42">
        <f ca="1">IF(($G$15+$K$15)=0,0,G12/($G$15+$K$15))</f>
        <v>0.28000000000000003</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293</v>
      </c>
      <c r="H13" s="42">
        <f ca="1">IF(($G$15+$K$15)=0,0,G13/($G$15+$K$15))</f>
        <v>0.29299999999999998</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427</v>
      </c>
      <c r="H14" s="42">
        <f ca="1">IF(($G$15+$K$15)=0,0,G14/($G$15+$K$15))</f>
        <v>0.42699999999999999</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https://www.comunidad.madrid/hospital/santacristina/</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https://www.comunidad.madrid/hospital/santacristina/ciudadanos</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https://www.comunidad.madrid/hospital/santacristina/profesionales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https://www.comunidad.madrid/hospital/santacristina/comunicacion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https://www.comunidad.madrid/hospital/santacristina/nosotros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https://www.comunidad.madrid/hospital/santacristina/buscar?search_api_fulltext=&amp;nombre=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ATENCIÓN AL PACIENTE</v>
      </c>
      <c r="C25" s="85" t="str" cm="1">
        <f t="array" ref="C25">IFERROR(INDEX('03.Muestra'!$F$8:$F$42,SMALL(IF("Página Web"='03.Muestra'!$D$8:$D$42,ROW('03.Muestra'!$F$8:$F$42)-MIN(ROW('03.Muestra'!$D$8:$D$42))+1,""),ROW()-18)),"")</f>
        <v>https://www.comunidad.madrid/hospital/santacristina/ciudadanos/atencion-paciente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ATENCIÓN ESPIRITUAL</v>
      </c>
      <c r="C26" s="85" t="str" cm="1">
        <f t="array" ref="C26">IFERROR(INDEX('03.Muestra'!$F$8:$F$42,SMALL(IF("Página Web"='03.Muestra'!$D$8:$D$42,ROW('03.Muestra'!$F$8:$F$42)-MIN(ROW('03.Muestra'!$D$8:$D$42))+1,""),ROW()-18)),"")</f>
        <v>https://www.comunidad.madrid/hospital/santacristina/ciudadanos/atencion-espiritual-religiosa</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LOCALIZACIÓN Y ACCESO</v>
      </c>
      <c r="C27" s="85" t="str" cm="1">
        <f t="array" ref="C27">IFERROR(INDEX('03.Muestra'!$F$8:$F$42,SMALL(IF("Página Web"='03.Muestra'!$D$8:$D$42,ROW('03.Muestra'!$F$8:$F$42)-MIN(ROW('03.Muestra'!$D$8:$D$42))+1,""),ROW()-18)),"")</f>
        <v>https://www.comunidad.madrid/hospital/santacristina/ciudadanos/localizacion-acceso</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GUÍAS DE USUARIO</v>
      </c>
      <c r="C28" s="85" t="str" cm="1">
        <f t="array" ref="C28">IFERROR(INDEX('03.Muestra'!$F$8:$F$42,SMALL(IF("Página Web"='03.Muestra'!$D$8:$D$42,ROW('03.Muestra'!$F$8:$F$42)-MIN(ROW('03.Muestra'!$D$8:$D$42))+1,""),ROW()-18)),"")</f>
        <v>https://www.comunidad.madrid/hospital/santacristina/ciudadanos/guias-usuario</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SERVICIOS QUIRÚRGICOS</v>
      </c>
      <c r="C29" s="85" t="str" cm="1">
        <f t="array" ref="C29">IFERROR(INDEX('03.Muestra'!$F$8:$F$42,SMALL(IF("Página Web"='03.Muestra'!$D$8:$D$42,ROW('03.Muestra'!$F$8:$F$42)-MIN(ROW('03.Muestra'!$D$8:$D$42))+1,""),ROW()-18)),"")</f>
        <v>https://www.comunidad.madrid/hospital/santacristina/profesionales/servicios-quirurgicos-0</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INVESTIGACIÓN</v>
      </c>
      <c r="C30" s="85" t="str" cm="1">
        <f t="array" ref="C30">IFERROR(INDEX('03.Muestra'!$F$8:$F$42,SMALL(IF("Página Web"='03.Muestra'!$D$8:$D$42,ROW('03.Muestra'!$F$8:$F$42)-MIN(ROW('03.Muestra'!$D$8:$D$42))+1,""),ROW()-18)),"")</f>
        <v>https://www.comunidad.madrid/hospital/santacristina/profesionales/investigacion-0</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NOTICIAS</v>
      </c>
      <c r="C31" s="85" t="str" cm="1">
        <f t="array" ref="C31">IFERROR(INDEX('03.Muestra'!$F$8:$F$42,SMALL(IF("Página Web"='03.Muestra'!$D$8:$D$42,ROW('03.Muestra'!$F$8:$F$42)-MIN(ROW('03.Muestra'!$D$8:$D$42))+1,""),ROW()-18)),"")</f>
        <v>https://www.comunidad.madrid/hospital/santacristina/comunicacion/noticias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ACTOS DEL CENTENARIO</v>
      </c>
      <c r="C32" s="85" t="str" cm="1">
        <f t="array" ref="C32">IFERROR(INDEX('03.Muestra'!$F$8:$F$42,SMALL(IF("Página Web"='03.Muestra'!$D$8:$D$42,ROW('03.Muestra'!$F$8:$F$42)-MIN(ROW('03.Muestra'!$D$8:$D$42))+1,""),ROW()-18)),"")</f>
        <v>https://www.comunidad.madrid/hospital/santacristina/nosotros/actos-centenario</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ACCESIBILIDAD HOSPITAL</v>
      </c>
      <c r="C33" s="85" t="str" cm="1">
        <f t="array" ref="C33">IFERROR(INDEX('03.Muestra'!$F$8:$F$42,SMALL(IF("Página Web"='03.Muestra'!$D$8:$D$42,ROW('03.Muestra'!$F$8:$F$42)-MIN(ROW('03.Muestra'!$D$8:$D$42))+1,""),ROW()-18)),"")</f>
        <v>https://www.comunidad.madrid/hospital/santacristina/nosotros/accesibilidad-hospital</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CARTERA DE SERVICIOS</v>
      </c>
      <c r="C34" s="85" t="str" cm="1">
        <f t="array" ref="C34">IFERROR(INDEX('03.Muestra'!$F$8:$F$42,SMALL(IF("Página Web"='03.Muestra'!$D$8:$D$42,ROW('03.Muestra'!$F$8:$F$42)-MIN(ROW('03.Muestra'!$D$8:$D$42))+1,""),ROW()-18)),"")</f>
        <v>https://www.comunidad.madrid/hospital/santacristina/nosotros/cartera-servicios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CONTACTO</v>
      </c>
      <c r="C35" s="85" t="str" cm="1">
        <f t="array" ref="C35">IFERROR(INDEX('03.Muestra'!$F$8:$F$42,SMALL(IF("Página Web"='03.Muestra'!$D$8:$D$42,ROW('03.Muestra'!$F$8:$F$42)-MIN(ROW('03.Muestra'!$D$8:$D$42))+1,""),ROW()-18)),"")</f>
        <v>https://www.comunidad.madrid/hospital/santacristina/comunicacion/contacto</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https://www.comunidad.madrid/hospital/santacristina/declaracion-accesibilidad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LEGAL</v>
      </c>
      <c r="C37" s="85" t="str" cm="1">
        <f t="array" ref="C37">IFERROR(INDEX('03.Muestra'!$F$8:$F$42,SMALL(IF("Página Web"='03.Muestra'!$D$8:$D$42,ROW('03.Muestra'!$F$8:$F$42)-MIN(ROW('03.Muestra'!$D$8:$D$42))+1,""),ROW()-18)),"")</f>
        <v>https://www.comunidad.madrid/hospital/santacristina/ciudadanos/aviso-legal-privacidad</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MAPA WEB</v>
      </c>
      <c r="C38" s="85" t="str" cm="1">
        <f t="array" ref="C38">IFERROR(INDEX('03.Muestra'!$F$8:$F$42,SMALL(IF("Página Web"='03.Muestra'!$D$8:$D$42,ROW('03.Muestra'!$F$8:$F$42)-MIN(ROW('03.Muestra'!$D$8:$D$42))+1,""),ROW()-18)),"")</f>
        <v>https://www.comunidad.madrid/hospital/santacristina/sitemap</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https://www.comunidad.madrid/hospital/santacristina/</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https://www.comunidad.madrid/hospital/santacristina/ciudadanos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https://www.comunidad.madrid/hospital/santacristina/profesionales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https://www.comunidad.madrid/hospital/santacristina/comunicacion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https://www.comunidad.madrid/hospital/santacristina/nosotros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https://www.comunidad.madrid/hospital/santacristina/buscar?search_api_fulltext=&amp;nombre=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ATENCIÓN AL PACIENTE</v>
      </c>
      <c r="C63" s="85" t="str" cm="1">
        <f t="array" ref="C63">IFERROR(INDEX('03.Muestra'!$F$8:$F$42,SMALL(IF("Página Web"='03.Muestra'!$D$8:$D$42,ROW('03.Muestra'!$F$8:$F$42)-MIN(ROW('03.Muestra'!$D$8:$D$42))+1,""),ROW()-56)),"")</f>
        <v>https://www.comunidad.madrid/hospital/santacristina/ciudadanos/atencion-paciente</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ATENCIÓN ESPIRITUAL</v>
      </c>
      <c r="C64" s="85" t="str" cm="1">
        <f t="array" ref="C64">IFERROR(INDEX('03.Muestra'!$F$8:$F$42,SMALL(IF("Página Web"='03.Muestra'!$D$8:$D$42,ROW('03.Muestra'!$F$8:$F$42)-MIN(ROW('03.Muestra'!$D$8:$D$42))+1,""),ROW()-56)),"")</f>
        <v>https://www.comunidad.madrid/hospital/santacristina/ciudadanos/atencion-espiritual-religiosa</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LOCALIZACIÓN Y ACCESO</v>
      </c>
      <c r="C65" s="85" t="str" cm="1">
        <f t="array" ref="C65">IFERROR(INDEX('03.Muestra'!$F$8:$F$42,SMALL(IF("Página Web"='03.Muestra'!$D$8:$D$42,ROW('03.Muestra'!$F$8:$F$42)-MIN(ROW('03.Muestra'!$D$8:$D$42))+1,""),ROW()-56)),"")</f>
        <v>https://www.comunidad.madrid/hospital/santacristina/ciudadanos/localizacion-acceso</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GUÍAS DE USUARIO</v>
      </c>
      <c r="C66" s="85" t="str" cm="1">
        <f t="array" ref="C66">IFERROR(INDEX('03.Muestra'!$F$8:$F$42,SMALL(IF("Página Web"='03.Muestra'!$D$8:$D$42,ROW('03.Muestra'!$F$8:$F$42)-MIN(ROW('03.Muestra'!$D$8:$D$42))+1,""),ROW()-56)),"")</f>
        <v>https://www.comunidad.madrid/hospital/santacristina/ciudadanos/guias-usuario</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SERVICIOS QUIRÚRGICOS</v>
      </c>
      <c r="C67" s="85" t="str" cm="1">
        <f t="array" ref="C67">IFERROR(INDEX('03.Muestra'!$F$8:$F$42,SMALL(IF("Página Web"='03.Muestra'!$D$8:$D$42,ROW('03.Muestra'!$F$8:$F$42)-MIN(ROW('03.Muestra'!$D$8:$D$42))+1,""),ROW()-56)),"")</f>
        <v>https://www.comunidad.madrid/hospital/santacristina/profesionales/servicios-quirurgicos-0</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INVESTIGACIÓN</v>
      </c>
      <c r="C68" s="85" t="str" cm="1">
        <f t="array" ref="C68">IFERROR(INDEX('03.Muestra'!$F$8:$F$42,SMALL(IF("Página Web"='03.Muestra'!$D$8:$D$42,ROW('03.Muestra'!$F$8:$F$42)-MIN(ROW('03.Muestra'!$D$8:$D$42))+1,""),ROW()-56)),"")</f>
        <v>https://www.comunidad.madrid/hospital/santacristina/profesionales/investigacion-0</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NOTICIAS</v>
      </c>
      <c r="C69" s="85" t="str" cm="1">
        <f t="array" ref="C69">IFERROR(INDEX('03.Muestra'!$F$8:$F$42,SMALL(IF("Página Web"='03.Muestra'!$D$8:$D$42,ROW('03.Muestra'!$F$8:$F$42)-MIN(ROW('03.Muestra'!$D$8:$D$42))+1,""),ROW()-56)),"")</f>
        <v>https://www.comunidad.madrid/hospital/santacristina/comunicacion/noticias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ACTOS DEL CENTENARIO</v>
      </c>
      <c r="C70" s="85" t="str" cm="1">
        <f t="array" ref="C70">IFERROR(INDEX('03.Muestra'!$F$8:$F$42,SMALL(IF("Página Web"='03.Muestra'!$D$8:$D$42,ROW('03.Muestra'!$F$8:$F$42)-MIN(ROW('03.Muestra'!$D$8:$D$42))+1,""),ROW()-56)),"")</f>
        <v>https://www.comunidad.madrid/hospital/santacristina/nosotros/actos-centenario</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ACCESIBILIDAD HOSPITAL</v>
      </c>
      <c r="C71" s="85" t="str" cm="1">
        <f t="array" ref="C71">IFERROR(INDEX('03.Muestra'!$F$8:$F$42,SMALL(IF("Página Web"='03.Muestra'!$D$8:$D$42,ROW('03.Muestra'!$F$8:$F$42)-MIN(ROW('03.Muestra'!$D$8:$D$42))+1,""),ROW()-56)),"")</f>
        <v>https://www.comunidad.madrid/hospital/santacristina/nosotros/accesibilidad-hospital</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CARTERA DE SERVICIOS</v>
      </c>
      <c r="C72" s="85" t="str" cm="1">
        <f t="array" ref="C72">IFERROR(INDEX('03.Muestra'!$F$8:$F$42,SMALL(IF("Página Web"='03.Muestra'!$D$8:$D$42,ROW('03.Muestra'!$F$8:$F$42)-MIN(ROW('03.Muestra'!$D$8:$D$42))+1,""),ROW()-56)),"")</f>
        <v>https://www.comunidad.madrid/hospital/santacristina/nosotros/cartera-servicios</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CONTACTO</v>
      </c>
      <c r="C73" s="85" t="str" cm="1">
        <f t="array" ref="C73">IFERROR(INDEX('03.Muestra'!$F$8:$F$42,SMALL(IF("Página Web"='03.Muestra'!$D$8:$D$42,ROW('03.Muestra'!$F$8:$F$42)-MIN(ROW('03.Muestra'!$D$8:$D$42))+1,""),ROW()-56)),"")</f>
        <v>https://www.comunidad.madrid/hospital/santacristina/comunicacion/contacto</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https://www.comunidad.madrid/hospital/santacristina/declaracion-accesibilidad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LEGAL</v>
      </c>
      <c r="C75" s="85" t="str" cm="1">
        <f t="array" ref="C75">IFERROR(INDEX('03.Muestra'!$F$8:$F$42,SMALL(IF("Página Web"='03.Muestra'!$D$8:$D$42,ROW('03.Muestra'!$F$8:$F$42)-MIN(ROW('03.Muestra'!$D$8:$D$42))+1,""),ROW()-56)),"")</f>
        <v>https://www.comunidad.madrid/hospital/santacristina/ciudadanos/aviso-legal-privacidad</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MAPA WEB</v>
      </c>
      <c r="C76" s="85" t="str" cm="1">
        <f t="array" ref="C76">IFERROR(INDEX('03.Muestra'!$F$8:$F$42,SMALL(IF("Página Web"='03.Muestra'!$D$8:$D$42,ROW('03.Muestra'!$F$8:$F$42)-MIN(ROW('03.Muestra'!$D$8:$D$42))+1,""),ROW()-56)),"")</f>
        <v>https://www.comunidad.madrid/hospital/santacristina/sitemap</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https://www.comunidad.madrid/hospital/santacristina/</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https://www.comunidad.madrid/hospital/santacristina/ciudadanos</v>
      </c>
      <c r="D96" s="99" t="s">
        <v>104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https://www.comunidad.madrid/hospital/santacristina/profesionales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https://www.comunidad.madrid/hospital/santacristina/comunicacion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https://www.comunidad.madrid/hospital/santacristina/nosotros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https://www.comunidad.madrid/hospital/santacristina/buscar?search_api_fulltext=&amp;nombre=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ATENCIÓN AL PACIENTE</v>
      </c>
      <c r="C101" s="85" t="str" cm="1">
        <f t="array" ref="C101">IFERROR(INDEX('03.Muestra'!$F$8:$F$42,SMALL(IF("Página Web"='03.Muestra'!$D$8:$D$42,ROW('03.Muestra'!$F$8:$F$42)-MIN(ROW('03.Muestra'!$D$8:$D$42))+1,""),ROW()-94)),"")</f>
        <v>https://www.comunidad.madrid/hospital/santacristina/ciudadanos/atencion-paciente</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ATENCIÓN ESPIRITUAL</v>
      </c>
      <c r="C102" s="85" t="str" cm="1">
        <f t="array" ref="C102">IFERROR(INDEX('03.Muestra'!$F$8:$F$42,SMALL(IF("Página Web"='03.Muestra'!$D$8:$D$42,ROW('03.Muestra'!$F$8:$F$42)-MIN(ROW('03.Muestra'!$D$8:$D$42))+1,""),ROW()-94)),"")</f>
        <v>https://www.comunidad.madrid/hospital/santacristina/ciudadanos/atencion-espiritual-religiosa</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LOCALIZACIÓN Y ACCESO</v>
      </c>
      <c r="C103" s="85" t="str" cm="1">
        <f t="array" ref="C103">IFERROR(INDEX('03.Muestra'!$F$8:$F$42,SMALL(IF("Página Web"='03.Muestra'!$D$8:$D$42,ROW('03.Muestra'!$F$8:$F$42)-MIN(ROW('03.Muestra'!$D$8:$D$42))+1,""),ROW()-94)),"")</f>
        <v>https://www.comunidad.madrid/hospital/santacristina/ciudadanos/localizacion-acceso</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GUÍAS DE USUARIO</v>
      </c>
      <c r="C104" s="85" t="str" cm="1">
        <f t="array" ref="C104">IFERROR(INDEX('03.Muestra'!$F$8:$F$42,SMALL(IF("Página Web"='03.Muestra'!$D$8:$D$42,ROW('03.Muestra'!$F$8:$F$42)-MIN(ROW('03.Muestra'!$D$8:$D$42))+1,""),ROW()-94)),"")</f>
        <v>https://www.comunidad.madrid/hospital/santacristina/ciudadanos/guias-usuario</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SERVICIOS QUIRÚRGICOS</v>
      </c>
      <c r="C105" s="85" t="str" cm="1">
        <f t="array" ref="C105">IFERROR(INDEX('03.Muestra'!$F$8:$F$42,SMALL(IF("Página Web"='03.Muestra'!$D$8:$D$42,ROW('03.Muestra'!$F$8:$F$42)-MIN(ROW('03.Muestra'!$D$8:$D$42))+1,""),ROW()-94)),"")</f>
        <v>https://www.comunidad.madrid/hospital/santacristina/profesionales/servicios-quirurgicos-0</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INVESTIGACIÓN</v>
      </c>
      <c r="C106" s="85" t="str" cm="1">
        <f t="array" ref="C106">IFERROR(INDEX('03.Muestra'!$F$8:$F$42,SMALL(IF("Página Web"='03.Muestra'!$D$8:$D$42,ROW('03.Muestra'!$F$8:$F$42)-MIN(ROW('03.Muestra'!$D$8:$D$42))+1,""),ROW()-94)),"")</f>
        <v>https://www.comunidad.madrid/hospital/santacristina/profesionales/investigacion-0</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NOTICIAS</v>
      </c>
      <c r="C107" s="85" t="str" cm="1">
        <f t="array" ref="C107">IFERROR(INDEX('03.Muestra'!$F$8:$F$42,SMALL(IF("Página Web"='03.Muestra'!$D$8:$D$42,ROW('03.Muestra'!$F$8:$F$42)-MIN(ROW('03.Muestra'!$D$8:$D$42))+1,""),ROW()-94)),"")</f>
        <v>https://www.comunidad.madrid/hospital/santacristina/comunicacion/noticias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ACTOS DEL CENTENARIO</v>
      </c>
      <c r="C108" s="85" t="str" cm="1">
        <f t="array" ref="C108">IFERROR(INDEX('03.Muestra'!$F$8:$F$42,SMALL(IF("Página Web"='03.Muestra'!$D$8:$D$42,ROW('03.Muestra'!$F$8:$F$42)-MIN(ROW('03.Muestra'!$D$8:$D$42))+1,""),ROW()-94)),"")</f>
        <v>https://www.comunidad.madrid/hospital/santacristina/nosotros/actos-centenario</v>
      </c>
      <c r="D108" s="99" t="s">
        <v>92</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ACCESIBILIDAD HOSPITAL</v>
      </c>
      <c r="C109" s="85" t="str" cm="1">
        <f t="array" ref="C109">IFERROR(INDEX('03.Muestra'!$F$8:$F$42,SMALL(IF("Página Web"='03.Muestra'!$D$8:$D$42,ROW('03.Muestra'!$F$8:$F$42)-MIN(ROW('03.Muestra'!$D$8:$D$42))+1,""),ROW()-94)),"")</f>
        <v>https://www.comunidad.madrid/hospital/santacristina/nosotros/accesibilidad-hospital</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CARTERA DE SERVICIOS</v>
      </c>
      <c r="C110" s="85" t="str" cm="1">
        <f t="array" ref="C110">IFERROR(INDEX('03.Muestra'!$F$8:$F$42,SMALL(IF("Página Web"='03.Muestra'!$D$8:$D$42,ROW('03.Muestra'!$F$8:$F$42)-MIN(ROW('03.Muestra'!$D$8:$D$42))+1,""),ROW()-94)),"")</f>
        <v>https://www.comunidad.madrid/hospital/santacristina/nosotros/cartera-servicios</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CONTACTO</v>
      </c>
      <c r="C111" s="85" t="str" cm="1">
        <f t="array" ref="C111">IFERROR(INDEX('03.Muestra'!$F$8:$F$42,SMALL(IF("Página Web"='03.Muestra'!$D$8:$D$42,ROW('03.Muestra'!$F$8:$F$42)-MIN(ROW('03.Muestra'!$D$8:$D$42))+1,""),ROW()-94)),"")</f>
        <v>https://www.comunidad.madrid/hospital/santacristina/comunicacion/contacto</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https://www.comunidad.madrid/hospital/santacristina/declaracion-accesibilidad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LEGAL</v>
      </c>
      <c r="C113" s="85" t="str" cm="1">
        <f t="array" ref="C113">IFERROR(INDEX('03.Muestra'!$F$8:$F$42,SMALL(IF("Página Web"='03.Muestra'!$D$8:$D$42,ROW('03.Muestra'!$F$8:$F$42)-MIN(ROW('03.Muestra'!$D$8:$D$42))+1,""),ROW()-94)),"")</f>
        <v>https://www.comunidad.madrid/hospital/santacristina/ciudadanos/aviso-legal-privacidad</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MAPA WEB</v>
      </c>
      <c r="C114" s="85" t="str" cm="1">
        <f t="array" ref="C114">IFERROR(INDEX('03.Muestra'!$F$8:$F$42,SMALL(IF("Página Web"='03.Muestra'!$D$8:$D$42,ROW('03.Muestra'!$F$8:$F$42)-MIN(ROW('03.Muestra'!$D$8:$D$42))+1,""),ROW()-94)),"")</f>
        <v>https://www.comunidad.madrid/hospital/santacristina/sitemap</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https://www.comunidad.madrid/hospital/santacristina/</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https://www.comunidad.madrid/hospital/santacristina/ciudadanos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https://www.comunidad.madrid/hospital/santacristina/profesionales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https://www.comunidad.madrid/hospital/santacristina/comunicacion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https://www.comunidad.madrid/hospital/santacristina/nosotros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https://www.comunidad.madrid/hospital/santacristina/buscar?search_api_fulltext=&amp;nombre=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ATENCIÓN AL PACIENTE</v>
      </c>
      <c r="C139" s="85" t="str" cm="1">
        <f t="array" ref="C139">IFERROR(INDEX('03.Muestra'!$F$8:$F$42,SMALL(IF("Página Web"='03.Muestra'!$D$8:$D$42,ROW('03.Muestra'!$F$8:$F$42)-MIN(ROW('03.Muestra'!$D$8:$D$42))+1,""),ROW()-132)),"")</f>
        <v>https://www.comunidad.madrid/hospital/santacristina/ciudadanos/atencion-paciente</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ATENCIÓN ESPIRITUAL</v>
      </c>
      <c r="C140" s="85" t="str" cm="1">
        <f t="array" ref="C140">IFERROR(INDEX('03.Muestra'!$F$8:$F$42,SMALL(IF("Página Web"='03.Muestra'!$D$8:$D$42,ROW('03.Muestra'!$F$8:$F$42)-MIN(ROW('03.Muestra'!$D$8:$D$42))+1,""),ROW()-132)),"")</f>
        <v>https://www.comunidad.madrid/hospital/santacristina/ciudadanos/atencion-espiritual-religiosa</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LOCALIZACIÓN Y ACCESO</v>
      </c>
      <c r="C141" s="85" t="str" cm="1">
        <f t="array" ref="C141">IFERROR(INDEX('03.Muestra'!$F$8:$F$42,SMALL(IF("Página Web"='03.Muestra'!$D$8:$D$42,ROW('03.Muestra'!$F$8:$F$42)-MIN(ROW('03.Muestra'!$D$8:$D$42))+1,""),ROW()-132)),"")</f>
        <v>https://www.comunidad.madrid/hospital/santacristina/ciudadanos/localizacion-acceso</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GUÍAS DE USUARIO</v>
      </c>
      <c r="C142" s="85" t="str" cm="1">
        <f t="array" ref="C142">IFERROR(INDEX('03.Muestra'!$F$8:$F$42,SMALL(IF("Página Web"='03.Muestra'!$D$8:$D$42,ROW('03.Muestra'!$F$8:$F$42)-MIN(ROW('03.Muestra'!$D$8:$D$42))+1,""),ROW()-132)),"")</f>
        <v>https://www.comunidad.madrid/hospital/santacristina/ciudadanos/guias-usuario</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SERVICIOS QUIRÚRGICOS</v>
      </c>
      <c r="C143" s="85" t="str" cm="1">
        <f t="array" ref="C143">IFERROR(INDEX('03.Muestra'!$F$8:$F$42,SMALL(IF("Página Web"='03.Muestra'!$D$8:$D$42,ROW('03.Muestra'!$F$8:$F$42)-MIN(ROW('03.Muestra'!$D$8:$D$42))+1,""),ROW()-132)),"")</f>
        <v>https://www.comunidad.madrid/hospital/santacristina/profesionales/servicios-quirurgicos-0</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INVESTIGACIÓN</v>
      </c>
      <c r="C144" s="85" t="str" cm="1">
        <f t="array" ref="C144">IFERROR(INDEX('03.Muestra'!$F$8:$F$42,SMALL(IF("Página Web"='03.Muestra'!$D$8:$D$42,ROW('03.Muestra'!$F$8:$F$42)-MIN(ROW('03.Muestra'!$D$8:$D$42))+1,""),ROW()-132)),"")</f>
        <v>https://www.comunidad.madrid/hospital/santacristina/profesionales/investigacion-0</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NOTICIAS</v>
      </c>
      <c r="C145" s="85" t="str" cm="1">
        <f t="array" ref="C145">IFERROR(INDEX('03.Muestra'!$F$8:$F$42,SMALL(IF("Página Web"='03.Muestra'!$D$8:$D$42,ROW('03.Muestra'!$F$8:$F$42)-MIN(ROW('03.Muestra'!$D$8:$D$42))+1,""),ROW()-132)),"")</f>
        <v>https://www.comunidad.madrid/hospital/santacristina/comunicacion/noticias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ACTOS DEL CENTENARIO</v>
      </c>
      <c r="C146" s="85" t="str" cm="1">
        <f t="array" ref="C146">IFERROR(INDEX('03.Muestra'!$F$8:$F$42,SMALL(IF("Página Web"='03.Muestra'!$D$8:$D$42,ROW('03.Muestra'!$F$8:$F$42)-MIN(ROW('03.Muestra'!$D$8:$D$42))+1,""),ROW()-132)),"")</f>
        <v>https://www.comunidad.madrid/hospital/santacristina/nosotros/actos-centenario</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ACCESIBILIDAD HOSPITAL</v>
      </c>
      <c r="C147" s="85" t="str" cm="1">
        <f t="array" ref="C147">IFERROR(INDEX('03.Muestra'!$F$8:$F$42,SMALL(IF("Página Web"='03.Muestra'!$D$8:$D$42,ROW('03.Muestra'!$F$8:$F$42)-MIN(ROW('03.Muestra'!$D$8:$D$42))+1,""),ROW()-132)),"")</f>
        <v>https://www.comunidad.madrid/hospital/santacristina/nosotros/accesibilidad-hospital</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CARTERA DE SERVICIOS</v>
      </c>
      <c r="C148" s="85" t="str" cm="1">
        <f t="array" ref="C148">IFERROR(INDEX('03.Muestra'!$F$8:$F$42,SMALL(IF("Página Web"='03.Muestra'!$D$8:$D$42,ROW('03.Muestra'!$F$8:$F$42)-MIN(ROW('03.Muestra'!$D$8:$D$42))+1,""),ROW()-132)),"")</f>
        <v>https://www.comunidad.madrid/hospital/santacristina/nosotros/cartera-servicios</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CONTACTO</v>
      </c>
      <c r="C149" s="85" t="str" cm="1">
        <f t="array" ref="C149">IFERROR(INDEX('03.Muestra'!$F$8:$F$42,SMALL(IF("Página Web"='03.Muestra'!$D$8:$D$42,ROW('03.Muestra'!$F$8:$F$42)-MIN(ROW('03.Muestra'!$D$8:$D$42))+1,""),ROW()-132)),"")</f>
        <v>https://www.comunidad.madrid/hospital/santacristina/comunicacion/contacto</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https://www.comunidad.madrid/hospital/santacristina/declaracion-accesibilidad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LEGAL</v>
      </c>
      <c r="C151" s="85" t="str" cm="1">
        <f t="array" ref="C151">IFERROR(INDEX('03.Muestra'!$F$8:$F$42,SMALL(IF("Página Web"='03.Muestra'!$D$8:$D$42,ROW('03.Muestra'!$F$8:$F$42)-MIN(ROW('03.Muestra'!$D$8:$D$42))+1,""),ROW()-132)),"")</f>
        <v>https://www.comunidad.madrid/hospital/santacristina/ciudadanos/aviso-legal-privacidad</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MAPA WEB</v>
      </c>
      <c r="C152" s="85" t="str" cm="1">
        <f t="array" ref="C152">IFERROR(INDEX('03.Muestra'!$F$8:$F$42,SMALL(IF("Página Web"='03.Muestra'!$D$8:$D$42,ROW('03.Muestra'!$F$8:$F$42)-MIN(ROW('03.Muestra'!$D$8:$D$42))+1,""),ROW()-132)),"")</f>
        <v>https://www.comunidad.madrid/hospital/santacristina/sitemap</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https://www.comunidad.madrid/hospital/santacristina/</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https://www.comunidad.madrid/hospital/santacristina/ciudadanos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https://www.comunidad.madrid/hospital/santacristina/profesionales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https://www.comunidad.madrid/hospital/santacristina/comunicacion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https://www.comunidad.madrid/hospital/santacristina/nosotros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https://www.comunidad.madrid/hospital/santacristina/buscar?search_api_fulltext=&amp;nombre=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ATENCIÓN AL PACIENTE</v>
      </c>
      <c r="C177" s="85" t="str" cm="1">
        <f t="array" ref="C177">IFERROR(INDEX('03.Muestra'!$F$8:$F$42,SMALL(IF("Página Web"='03.Muestra'!$D$8:$D$42,ROW('03.Muestra'!$F$8:$F$42)-MIN(ROW('03.Muestra'!$D$8:$D$42))+1,""),ROW()-170)),"")</f>
        <v>https://www.comunidad.madrid/hospital/santacristina/ciudadanos/atencion-paciente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ATENCIÓN ESPIRITUAL</v>
      </c>
      <c r="C178" s="85" t="str" cm="1">
        <f t="array" ref="C178">IFERROR(INDEX('03.Muestra'!$F$8:$F$42,SMALL(IF("Página Web"='03.Muestra'!$D$8:$D$42,ROW('03.Muestra'!$F$8:$F$42)-MIN(ROW('03.Muestra'!$D$8:$D$42))+1,""),ROW()-170)),"")</f>
        <v>https://www.comunidad.madrid/hospital/santacristina/ciudadanos/atencion-espiritual-religiosa</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LOCALIZACIÓN Y ACCESO</v>
      </c>
      <c r="C179" s="85" t="str" cm="1">
        <f t="array" ref="C179">IFERROR(INDEX('03.Muestra'!$F$8:$F$42,SMALL(IF("Página Web"='03.Muestra'!$D$8:$D$42,ROW('03.Muestra'!$F$8:$F$42)-MIN(ROW('03.Muestra'!$D$8:$D$42))+1,""),ROW()-170)),"")</f>
        <v>https://www.comunidad.madrid/hospital/santacristina/ciudadanos/localizacion-acceso</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GUÍAS DE USUARIO</v>
      </c>
      <c r="C180" s="85" t="str" cm="1">
        <f t="array" ref="C180">IFERROR(INDEX('03.Muestra'!$F$8:$F$42,SMALL(IF("Página Web"='03.Muestra'!$D$8:$D$42,ROW('03.Muestra'!$F$8:$F$42)-MIN(ROW('03.Muestra'!$D$8:$D$42))+1,""),ROW()-170)),"")</f>
        <v>https://www.comunidad.madrid/hospital/santacristina/ciudadanos/guias-usuario</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SERVICIOS QUIRÚRGICOS</v>
      </c>
      <c r="C181" s="85" t="str" cm="1">
        <f t="array" ref="C181">IFERROR(INDEX('03.Muestra'!$F$8:$F$42,SMALL(IF("Página Web"='03.Muestra'!$D$8:$D$42,ROW('03.Muestra'!$F$8:$F$42)-MIN(ROW('03.Muestra'!$D$8:$D$42))+1,""),ROW()-170)),"")</f>
        <v>https://www.comunidad.madrid/hospital/santacristina/profesionales/servicios-quirurgicos-0</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INVESTIGACIÓN</v>
      </c>
      <c r="C182" s="85" t="str" cm="1">
        <f t="array" ref="C182">IFERROR(INDEX('03.Muestra'!$F$8:$F$42,SMALL(IF("Página Web"='03.Muestra'!$D$8:$D$42,ROW('03.Muestra'!$F$8:$F$42)-MIN(ROW('03.Muestra'!$D$8:$D$42))+1,""),ROW()-170)),"")</f>
        <v>https://www.comunidad.madrid/hospital/santacristina/profesionales/investigacion-0</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NOTICIAS</v>
      </c>
      <c r="C183" s="85" t="str" cm="1">
        <f t="array" ref="C183">IFERROR(INDEX('03.Muestra'!$F$8:$F$42,SMALL(IF("Página Web"='03.Muestra'!$D$8:$D$42,ROW('03.Muestra'!$F$8:$F$42)-MIN(ROW('03.Muestra'!$D$8:$D$42))+1,""),ROW()-170)),"")</f>
        <v>https://www.comunidad.madrid/hospital/santacristina/comunicacion/noticias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ACTOS DEL CENTENARIO</v>
      </c>
      <c r="C184" s="85" t="str" cm="1">
        <f t="array" ref="C184">IFERROR(INDEX('03.Muestra'!$F$8:$F$42,SMALL(IF("Página Web"='03.Muestra'!$D$8:$D$42,ROW('03.Muestra'!$F$8:$F$42)-MIN(ROW('03.Muestra'!$D$8:$D$42))+1,""),ROW()-170)),"")</f>
        <v>https://www.comunidad.madrid/hospital/santacristina/nosotros/actos-centenario</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ACCESIBILIDAD HOSPITAL</v>
      </c>
      <c r="C185" s="85" t="str" cm="1">
        <f t="array" ref="C185">IFERROR(INDEX('03.Muestra'!$F$8:$F$42,SMALL(IF("Página Web"='03.Muestra'!$D$8:$D$42,ROW('03.Muestra'!$F$8:$F$42)-MIN(ROW('03.Muestra'!$D$8:$D$42))+1,""),ROW()-170)),"")</f>
        <v>https://www.comunidad.madrid/hospital/santacristina/nosotros/accesibilidad-hospital</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CARTERA DE SERVICIOS</v>
      </c>
      <c r="C186" s="85" t="str" cm="1">
        <f t="array" ref="C186">IFERROR(INDEX('03.Muestra'!$F$8:$F$42,SMALL(IF("Página Web"='03.Muestra'!$D$8:$D$42,ROW('03.Muestra'!$F$8:$F$42)-MIN(ROW('03.Muestra'!$D$8:$D$42))+1,""),ROW()-170)),"")</f>
        <v>https://www.comunidad.madrid/hospital/santacristina/nosotros/cartera-servicios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CONTACTO</v>
      </c>
      <c r="C187" s="85" t="str" cm="1">
        <f t="array" ref="C187">IFERROR(INDEX('03.Muestra'!$F$8:$F$42,SMALL(IF("Página Web"='03.Muestra'!$D$8:$D$42,ROW('03.Muestra'!$F$8:$F$42)-MIN(ROW('03.Muestra'!$D$8:$D$42))+1,""),ROW()-170)),"")</f>
        <v>https://www.comunidad.madrid/hospital/santacristina/comunicacion/contacto</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https://www.comunidad.madrid/hospital/santacristina/declaracion-accesibilidad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LEGAL</v>
      </c>
      <c r="C189" s="85" t="str" cm="1">
        <f t="array" ref="C189">IFERROR(INDEX('03.Muestra'!$F$8:$F$42,SMALL(IF("Página Web"='03.Muestra'!$D$8:$D$42,ROW('03.Muestra'!$F$8:$F$42)-MIN(ROW('03.Muestra'!$D$8:$D$42))+1,""),ROW()-170)),"")</f>
        <v>https://www.comunidad.madrid/hospital/santacristina/ciudadanos/aviso-legal-privacidad</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MAPA WEB</v>
      </c>
      <c r="C190" s="85" t="str" cm="1">
        <f t="array" ref="C190">IFERROR(INDEX('03.Muestra'!$F$8:$F$42,SMALL(IF("Página Web"='03.Muestra'!$D$8:$D$42,ROW('03.Muestra'!$F$8:$F$42)-MIN(ROW('03.Muestra'!$D$8:$D$42))+1,""),ROW()-170)),"")</f>
        <v>https://www.comunidad.madrid/hospital/santacristina/sitemap</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https://www.comunidad.madrid/hospital/santacristina/</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https://www.comunidad.madrid/hospital/santacristina/ciudadanos</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9</v>
      </c>
      <c r="J210" s="91">
        <f ca="1">COUNTIF($D209:INDIRECT("$D" &amp;  SUM(ROW()-1,'03.Muestra'!$D$45)-1),J209)</f>
        <v>11</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https://www.comunidad.madrid/hospital/santacristina/profesionales</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https://www.comunidad.madrid/hospital/santacristina/comunicacion</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https://www.comunidad.madrid/hospital/santacristina/nosotros</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https://www.comunidad.madrid/hospital/santacristina/buscar?search_api_fulltext=&amp;nombre=</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ATENCIÓN AL PACIENTE</v>
      </c>
      <c r="C215" s="85" t="str" cm="1">
        <f t="array" ref="C215">IFERROR(INDEX('03.Muestra'!$F$8:$F$42,SMALL(IF("Página Web"='03.Muestra'!$D$8:$D$42,ROW('03.Muestra'!$F$8:$F$42)-MIN(ROW('03.Muestra'!$D$8:$D$42))+1,""),ROW()-208)),"")</f>
        <v>https://www.comunidad.madrid/hospital/santacristina/ciudadanos/atencion-paciente</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ATENCIÓN ESPIRITUAL</v>
      </c>
      <c r="C216" s="85" t="str" cm="1">
        <f t="array" ref="C216">IFERROR(INDEX('03.Muestra'!$F$8:$F$42,SMALL(IF("Página Web"='03.Muestra'!$D$8:$D$42,ROW('03.Muestra'!$F$8:$F$42)-MIN(ROW('03.Muestra'!$D$8:$D$42))+1,""),ROW()-208)),"")</f>
        <v>https://www.comunidad.madrid/hospital/santacristina/ciudadanos/atencion-espiritual-religiosa</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LOCALIZACIÓN Y ACCESO</v>
      </c>
      <c r="C217" s="85" t="str" cm="1">
        <f t="array" ref="C217">IFERROR(INDEX('03.Muestra'!$F$8:$F$42,SMALL(IF("Página Web"='03.Muestra'!$D$8:$D$42,ROW('03.Muestra'!$F$8:$F$42)-MIN(ROW('03.Muestra'!$D$8:$D$42))+1,""),ROW()-208)),"")</f>
        <v>https://www.comunidad.madrid/hospital/santacristina/ciudadanos/localizacion-acceso</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GUÍAS DE USUARIO</v>
      </c>
      <c r="C218" s="85" t="str" cm="1">
        <f t="array" ref="C218">IFERROR(INDEX('03.Muestra'!$F$8:$F$42,SMALL(IF("Página Web"='03.Muestra'!$D$8:$D$42,ROW('03.Muestra'!$F$8:$F$42)-MIN(ROW('03.Muestra'!$D$8:$D$42))+1,""),ROW()-208)),"")</f>
        <v>https://www.comunidad.madrid/hospital/santacristina/ciudadanos/guias-usuario</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SERVICIOS QUIRÚRGICOS</v>
      </c>
      <c r="C219" s="85" t="str" cm="1">
        <f t="array" ref="C219">IFERROR(INDEX('03.Muestra'!$F$8:$F$42,SMALL(IF("Página Web"='03.Muestra'!$D$8:$D$42,ROW('03.Muestra'!$F$8:$F$42)-MIN(ROW('03.Muestra'!$D$8:$D$42))+1,""),ROW()-208)),"")</f>
        <v>https://www.comunidad.madrid/hospital/santacristina/profesionales/servicios-quirurgicos-0</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INVESTIGACIÓN</v>
      </c>
      <c r="C220" s="85" t="str" cm="1">
        <f t="array" ref="C220">IFERROR(INDEX('03.Muestra'!$F$8:$F$42,SMALL(IF("Página Web"='03.Muestra'!$D$8:$D$42,ROW('03.Muestra'!$F$8:$F$42)-MIN(ROW('03.Muestra'!$D$8:$D$42))+1,""),ROW()-208)),"")</f>
        <v>https://www.comunidad.madrid/hospital/santacristina/profesionales/investigacion-0</v>
      </c>
      <c r="D220" s="99" t="s">
        <v>94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NOTICIAS</v>
      </c>
      <c r="C221" s="85" t="str" cm="1">
        <f t="array" ref="C221">IFERROR(INDEX('03.Muestra'!$F$8:$F$42,SMALL(IF("Página Web"='03.Muestra'!$D$8:$D$42,ROW('03.Muestra'!$F$8:$F$42)-MIN(ROW('03.Muestra'!$D$8:$D$42))+1,""),ROW()-208)),"")</f>
        <v>https://www.comunidad.madrid/hospital/santacristina/comunicacion/noticias</v>
      </c>
      <c r="D221" s="99" t="s">
        <v>94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ACTOS DEL CENTENARIO</v>
      </c>
      <c r="C222" s="85" t="str" cm="1">
        <f t="array" ref="C222">IFERROR(INDEX('03.Muestra'!$F$8:$F$42,SMALL(IF("Página Web"='03.Muestra'!$D$8:$D$42,ROW('03.Muestra'!$F$8:$F$42)-MIN(ROW('03.Muestra'!$D$8:$D$42))+1,""),ROW()-208)),"")</f>
        <v>https://www.comunidad.madrid/hospital/santacristina/nosotros/actos-centenario</v>
      </c>
      <c r="D222" s="99" t="s">
        <v>92</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ACCESIBILIDAD HOSPITAL</v>
      </c>
      <c r="C223" s="85" t="str" cm="1">
        <f t="array" ref="C223">IFERROR(INDEX('03.Muestra'!$F$8:$F$42,SMALL(IF("Página Web"='03.Muestra'!$D$8:$D$42,ROW('03.Muestra'!$F$8:$F$42)-MIN(ROW('03.Muestra'!$D$8:$D$42))+1,""),ROW()-208)),"")</f>
        <v>https://www.comunidad.madrid/hospital/santacristina/nosotros/accesibilidad-hospital</v>
      </c>
      <c r="D223" s="99" t="s">
        <v>92</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CARTERA DE SERVICIOS</v>
      </c>
      <c r="C224" s="85" t="str" cm="1">
        <f t="array" ref="C224">IFERROR(INDEX('03.Muestra'!$F$8:$F$42,SMALL(IF("Página Web"='03.Muestra'!$D$8:$D$42,ROW('03.Muestra'!$F$8:$F$42)-MIN(ROW('03.Muestra'!$D$8:$D$42))+1,""),ROW()-208)),"")</f>
        <v>https://www.comunidad.madrid/hospital/santacristina/nosotros/cartera-servicios</v>
      </c>
      <c r="D224" s="99" t="s">
        <v>92</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CONTACTO</v>
      </c>
      <c r="C225" s="85" t="str" cm="1">
        <f t="array" ref="C225">IFERROR(INDEX('03.Muestra'!$F$8:$F$42,SMALL(IF("Página Web"='03.Muestra'!$D$8:$D$42,ROW('03.Muestra'!$F$8:$F$42)-MIN(ROW('03.Muestra'!$D$8:$D$42))+1,""),ROW()-208)),"")</f>
        <v>https://www.comunidad.madrid/hospital/santacristina/comunicacion/contacto</v>
      </c>
      <c r="D225" s="99" t="s">
        <v>94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https://www.comunidad.madrid/hospital/santacristina/declaracion-accesibilidad</v>
      </c>
      <c r="D226" s="99" t="s">
        <v>92</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LEGAL</v>
      </c>
      <c r="C227" s="85" t="str" cm="1">
        <f t="array" ref="C227">IFERROR(INDEX('03.Muestra'!$F$8:$F$42,SMALL(IF("Página Web"='03.Muestra'!$D$8:$D$42,ROW('03.Muestra'!$F$8:$F$42)-MIN(ROW('03.Muestra'!$D$8:$D$42))+1,""),ROW()-208)),"")</f>
        <v>https://www.comunidad.madrid/hospital/santacristina/ciudadanos/aviso-legal-privacidad</v>
      </c>
      <c r="D227" s="99" t="s">
        <v>92</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MAPA WEB</v>
      </c>
      <c r="C228" s="85" t="str" cm="1">
        <f t="array" ref="C228">IFERROR(INDEX('03.Muestra'!$F$8:$F$42,SMALL(IF("Página Web"='03.Muestra'!$D$8:$D$42,ROW('03.Muestra'!$F$8:$F$42)-MIN(ROW('03.Muestra'!$D$8:$D$42))+1,""),ROW()-208)),"")</f>
        <v>https://www.comunidad.madrid/hospital/santacristina/sitemap</v>
      </c>
      <c r="D228" s="99" t="s">
        <v>92</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ref="D230:D243" si="11">IF(AND(B230&lt;&gt;"",C230&lt;&gt;""),"N/T","")</f>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https://www.comunidad.madrid/hospital/santacristina/</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https://www.comunidad.madrid/hospital/santacristina/ciudadanos</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https://www.comunidad.madrid/hospital/santacristina/profesionales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https://www.comunidad.madrid/hospital/santacristina/comunicacion</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https://www.comunidad.madrid/hospital/santacristina/nosotros</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https://www.comunidad.madrid/hospital/santacristina/buscar?search_api_fulltext=&amp;nombre=</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ATENCIÓN AL PACIENTE</v>
      </c>
      <c r="C253" s="85" t="str" cm="1">
        <f t="array" ref="C253">IFERROR(INDEX('03.Muestra'!$F$8:$F$42,SMALL(IF("Página Web"='03.Muestra'!$D$8:$D$42,ROW('03.Muestra'!$F$8:$F$42)-MIN(ROW('03.Muestra'!$D$8:$D$42))+1,""),ROW()-246)),"")</f>
        <v>https://www.comunidad.madrid/hospital/santacristina/ciudadanos/atencion-paciente</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ATENCIÓN ESPIRITUAL</v>
      </c>
      <c r="C254" s="85" t="str" cm="1">
        <f t="array" ref="C254">IFERROR(INDEX('03.Muestra'!$F$8:$F$42,SMALL(IF("Página Web"='03.Muestra'!$D$8:$D$42,ROW('03.Muestra'!$F$8:$F$42)-MIN(ROW('03.Muestra'!$D$8:$D$42))+1,""),ROW()-246)),"")</f>
        <v>https://www.comunidad.madrid/hospital/santacristina/ciudadanos/atencion-espiritual-religiosa</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LOCALIZACIÓN Y ACCESO</v>
      </c>
      <c r="C255" s="85" t="str" cm="1">
        <f t="array" ref="C255">IFERROR(INDEX('03.Muestra'!$F$8:$F$42,SMALL(IF("Página Web"='03.Muestra'!$D$8:$D$42,ROW('03.Muestra'!$F$8:$F$42)-MIN(ROW('03.Muestra'!$D$8:$D$42))+1,""),ROW()-246)),"")</f>
        <v>https://www.comunidad.madrid/hospital/santacristina/ciudadanos/localizacion-acceso</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GUÍAS DE USUARIO</v>
      </c>
      <c r="C256" s="85" t="str" cm="1">
        <f t="array" ref="C256">IFERROR(INDEX('03.Muestra'!$F$8:$F$42,SMALL(IF("Página Web"='03.Muestra'!$D$8:$D$42,ROW('03.Muestra'!$F$8:$F$42)-MIN(ROW('03.Muestra'!$D$8:$D$42))+1,""),ROW()-246)),"")</f>
        <v>https://www.comunidad.madrid/hospital/santacristina/ciudadanos/guias-usuario</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SERVICIOS QUIRÚRGICOS</v>
      </c>
      <c r="C257" s="85" t="str" cm="1">
        <f t="array" ref="C257">IFERROR(INDEX('03.Muestra'!$F$8:$F$42,SMALL(IF("Página Web"='03.Muestra'!$D$8:$D$42,ROW('03.Muestra'!$F$8:$F$42)-MIN(ROW('03.Muestra'!$D$8:$D$42))+1,""),ROW()-246)),"")</f>
        <v>https://www.comunidad.madrid/hospital/santacristina/profesionales/servicios-quirurgicos-0</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INVESTIGACIÓN</v>
      </c>
      <c r="C258" s="85" t="str" cm="1">
        <f t="array" ref="C258">IFERROR(INDEX('03.Muestra'!$F$8:$F$42,SMALL(IF("Página Web"='03.Muestra'!$D$8:$D$42,ROW('03.Muestra'!$F$8:$F$42)-MIN(ROW('03.Muestra'!$D$8:$D$42))+1,""),ROW()-246)),"")</f>
        <v>https://www.comunidad.madrid/hospital/santacristina/profesionales/investigacion-0</v>
      </c>
      <c r="D258" s="99" t="s">
        <v>94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NOTICIAS</v>
      </c>
      <c r="C259" s="85" t="str" cm="1">
        <f t="array" ref="C259">IFERROR(INDEX('03.Muestra'!$F$8:$F$42,SMALL(IF("Página Web"='03.Muestra'!$D$8:$D$42,ROW('03.Muestra'!$F$8:$F$42)-MIN(ROW('03.Muestra'!$D$8:$D$42))+1,""),ROW()-246)),"")</f>
        <v>https://www.comunidad.madrid/hospital/santacristina/comunicacion/noticias</v>
      </c>
      <c r="D259" s="99" t="s">
        <v>94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ACTOS DEL CENTENARIO</v>
      </c>
      <c r="C260" s="85" t="str" cm="1">
        <f t="array" ref="C260">IFERROR(INDEX('03.Muestra'!$F$8:$F$42,SMALL(IF("Página Web"='03.Muestra'!$D$8:$D$42,ROW('03.Muestra'!$F$8:$F$42)-MIN(ROW('03.Muestra'!$D$8:$D$42))+1,""),ROW()-246)),"")</f>
        <v>https://www.comunidad.madrid/hospital/santacristina/nosotros/actos-centenario</v>
      </c>
      <c r="D260" s="99" t="s">
        <v>94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ACCESIBILIDAD HOSPITAL</v>
      </c>
      <c r="C261" s="85" t="str" cm="1">
        <f t="array" ref="C261">IFERROR(INDEX('03.Muestra'!$F$8:$F$42,SMALL(IF("Página Web"='03.Muestra'!$D$8:$D$42,ROW('03.Muestra'!$F$8:$F$42)-MIN(ROW('03.Muestra'!$D$8:$D$42))+1,""),ROW()-246)),"")</f>
        <v>https://www.comunidad.madrid/hospital/santacristina/nosotros/accesibilidad-hospital</v>
      </c>
      <c r="D261" s="99" t="s">
        <v>94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CARTERA DE SERVICIOS</v>
      </c>
      <c r="C262" s="85" t="str" cm="1">
        <f t="array" ref="C262">IFERROR(INDEX('03.Muestra'!$F$8:$F$42,SMALL(IF("Página Web"='03.Muestra'!$D$8:$D$42,ROW('03.Muestra'!$F$8:$F$42)-MIN(ROW('03.Muestra'!$D$8:$D$42))+1,""),ROW()-246)),"")</f>
        <v>https://www.comunidad.madrid/hospital/santacristina/nosotros/cartera-servicios</v>
      </c>
      <c r="D262" s="99" t="s">
        <v>94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CONTACTO</v>
      </c>
      <c r="C263" s="85" t="str" cm="1">
        <f t="array" ref="C263">IFERROR(INDEX('03.Muestra'!$F$8:$F$42,SMALL(IF("Página Web"='03.Muestra'!$D$8:$D$42,ROW('03.Muestra'!$F$8:$F$42)-MIN(ROW('03.Muestra'!$D$8:$D$42))+1,""),ROW()-246)),"")</f>
        <v>https://www.comunidad.madrid/hospital/santacristina/comunicacion/contacto</v>
      </c>
      <c r="D263" s="99" t="s">
        <v>94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ACCESIBILIDAD</v>
      </c>
      <c r="C264" s="85" t="str" cm="1">
        <f t="array" ref="C264">IFERROR(INDEX('03.Muestra'!$F$8:$F$42,SMALL(IF("Página Web"='03.Muestra'!$D$8:$D$42,ROW('03.Muestra'!$F$8:$F$42)-MIN(ROW('03.Muestra'!$D$8:$D$42))+1,""),ROW()-246)),"")</f>
        <v>https://www.comunidad.madrid/hospital/santacristina/declaracion-accesibilidad</v>
      </c>
      <c r="D264" s="99" t="s">
        <v>94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LEGAL</v>
      </c>
      <c r="C265" s="85" t="str" cm="1">
        <f t="array" ref="C265">IFERROR(INDEX('03.Muestra'!$F$8:$F$42,SMALL(IF("Página Web"='03.Muestra'!$D$8:$D$42,ROW('03.Muestra'!$F$8:$F$42)-MIN(ROW('03.Muestra'!$D$8:$D$42))+1,""),ROW()-246)),"")</f>
        <v>https://www.comunidad.madrid/hospital/santacristina/ciudadanos/aviso-legal-privacidad</v>
      </c>
      <c r="D265" s="99" t="s">
        <v>94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MAPA WEB</v>
      </c>
      <c r="C266" s="85" t="str" cm="1">
        <f t="array" ref="C266">IFERROR(INDEX('03.Muestra'!$F$8:$F$42,SMALL(IF("Página Web"='03.Muestra'!$D$8:$D$42,ROW('03.Muestra'!$F$8:$F$42)-MIN(ROW('03.Muestra'!$D$8:$D$42))+1,""),ROW()-246)),"")</f>
        <v>https://www.comunidad.madrid/hospital/santacristina/sitemap</v>
      </c>
      <c r="D266" s="99" t="s">
        <v>94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https://www.comunidad.madrid/hospital/santacristina/</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https://www.comunidad.madrid/hospital/santacristina/ciudadanos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https://www.comunidad.madrid/hospital/santacristina/profesionales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https://www.comunidad.madrid/hospital/santacristina/comunicacion</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https://www.comunidad.madrid/hospital/santacristina/nosotros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https://www.comunidad.madrid/hospital/santacristina/buscar?search_api_fulltext=&amp;nombre=</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ATENCIÓN AL PACIENTE</v>
      </c>
      <c r="C291" s="85" t="str" cm="1">
        <f t="array" ref="C291">IFERROR(INDEX('03.Muestra'!$F$8:$F$42,SMALL(IF("Página Web"='03.Muestra'!$D$8:$D$42,ROW('03.Muestra'!$F$8:$F$42)-MIN(ROW('03.Muestra'!$D$8:$D$42))+1,""),ROW()-284)),"")</f>
        <v>https://www.comunidad.madrid/hospital/santacristina/ciudadanos/atencion-paciente</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ATENCIÓN ESPIRITUAL</v>
      </c>
      <c r="C292" s="85" t="str" cm="1">
        <f t="array" ref="C292">IFERROR(INDEX('03.Muestra'!$F$8:$F$42,SMALL(IF("Página Web"='03.Muestra'!$D$8:$D$42,ROW('03.Muestra'!$F$8:$F$42)-MIN(ROW('03.Muestra'!$D$8:$D$42))+1,""),ROW()-284)),"")</f>
        <v>https://www.comunidad.madrid/hospital/santacristina/ciudadanos/atencion-espiritual-religiosa</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LOCALIZACIÓN Y ACCESO</v>
      </c>
      <c r="C293" s="85" t="str" cm="1">
        <f t="array" ref="C293">IFERROR(INDEX('03.Muestra'!$F$8:$F$42,SMALL(IF("Página Web"='03.Muestra'!$D$8:$D$42,ROW('03.Muestra'!$F$8:$F$42)-MIN(ROW('03.Muestra'!$D$8:$D$42))+1,""),ROW()-284)),"")</f>
        <v>https://www.comunidad.madrid/hospital/santacristina/ciudadanos/localizacion-acceso</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GUÍAS DE USUARIO</v>
      </c>
      <c r="C294" s="85" t="str" cm="1">
        <f t="array" ref="C294">IFERROR(INDEX('03.Muestra'!$F$8:$F$42,SMALL(IF("Página Web"='03.Muestra'!$D$8:$D$42,ROW('03.Muestra'!$F$8:$F$42)-MIN(ROW('03.Muestra'!$D$8:$D$42))+1,""),ROW()-284)),"")</f>
        <v>https://www.comunidad.madrid/hospital/santacristina/ciudadanos/guias-usuario</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SERVICIOS QUIRÚRGICOS</v>
      </c>
      <c r="C295" s="85" t="str" cm="1">
        <f t="array" ref="C295">IFERROR(INDEX('03.Muestra'!$F$8:$F$42,SMALL(IF("Página Web"='03.Muestra'!$D$8:$D$42,ROW('03.Muestra'!$F$8:$F$42)-MIN(ROW('03.Muestra'!$D$8:$D$42))+1,""),ROW()-284)),"")</f>
        <v>https://www.comunidad.madrid/hospital/santacristina/profesionales/servicios-quirurgicos-0</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INVESTIGACIÓN</v>
      </c>
      <c r="C296" s="85" t="str" cm="1">
        <f t="array" ref="C296">IFERROR(INDEX('03.Muestra'!$F$8:$F$42,SMALL(IF("Página Web"='03.Muestra'!$D$8:$D$42,ROW('03.Muestra'!$F$8:$F$42)-MIN(ROW('03.Muestra'!$D$8:$D$42))+1,""),ROW()-284)),"")</f>
        <v>https://www.comunidad.madrid/hospital/santacristina/profesionales/investigacion-0</v>
      </c>
      <c r="D296" s="99" t="s">
        <v>94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NOTICIAS</v>
      </c>
      <c r="C297" s="85" t="str" cm="1">
        <f t="array" ref="C297">IFERROR(INDEX('03.Muestra'!$F$8:$F$42,SMALL(IF("Página Web"='03.Muestra'!$D$8:$D$42,ROW('03.Muestra'!$F$8:$F$42)-MIN(ROW('03.Muestra'!$D$8:$D$42))+1,""),ROW()-284)),"")</f>
        <v>https://www.comunidad.madrid/hospital/santacristina/comunicacion/noticias</v>
      </c>
      <c r="D297" s="99" t="s">
        <v>94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ACTOS DEL CENTENARIO</v>
      </c>
      <c r="C298" s="85" t="str" cm="1">
        <f t="array" ref="C298">IFERROR(INDEX('03.Muestra'!$F$8:$F$42,SMALL(IF("Página Web"='03.Muestra'!$D$8:$D$42,ROW('03.Muestra'!$F$8:$F$42)-MIN(ROW('03.Muestra'!$D$8:$D$42))+1,""),ROW()-284)),"")</f>
        <v>https://www.comunidad.madrid/hospital/santacristina/nosotros/actos-centenario</v>
      </c>
      <c r="D298" s="99" t="s">
        <v>94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ACCESIBILIDAD HOSPITAL</v>
      </c>
      <c r="C299" s="85" t="str" cm="1">
        <f t="array" ref="C299">IFERROR(INDEX('03.Muestra'!$F$8:$F$42,SMALL(IF("Página Web"='03.Muestra'!$D$8:$D$42,ROW('03.Muestra'!$F$8:$F$42)-MIN(ROW('03.Muestra'!$D$8:$D$42))+1,""),ROW()-284)),"")</f>
        <v>https://www.comunidad.madrid/hospital/santacristina/nosotros/accesibilidad-hospital</v>
      </c>
      <c r="D299" s="99" t="s">
        <v>94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CARTERA DE SERVICIOS</v>
      </c>
      <c r="C300" s="85" t="str" cm="1">
        <f t="array" ref="C300">IFERROR(INDEX('03.Muestra'!$F$8:$F$42,SMALL(IF("Página Web"='03.Muestra'!$D$8:$D$42,ROW('03.Muestra'!$F$8:$F$42)-MIN(ROW('03.Muestra'!$D$8:$D$42))+1,""),ROW()-284)),"")</f>
        <v>https://www.comunidad.madrid/hospital/santacristina/nosotros/cartera-servicios</v>
      </c>
      <c r="D300" s="99" t="s">
        <v>94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CONTACTO</v>
      </c>
      <c r="C301" s="85" t="str" cm="1">
        <f t="array" ref="C301">IFERROR(INDEX('03.Muestra'!$F$8:$F$42,SMALL(IF("Página Web"='03.Muestra'!$D$8:$D$42,ROW('03.Muestra'!$F$8:$F$42)-MIN(ROW('03.Muestra'!$D$8:$D$42))+1,""),ROW()-284)),"")</f>
        <v>https://www.comunidad.madrid/hospital/santacristina/comunicacion/contacto</v>
      </c>
      <c r="D301" s="99" t="s">
        <v>94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ACCESIBILIDAD</v>
      </c>
      <c r="C302" s="85" t="str" cm="1">
        <f t="array" ref="C302">IFERROR(INDEX('03.Muestra'!$F$8:$F$42,SMALL(IF("Página Web"='03.Muestra'!$D$8:$D$42,ROW('03.Muestra'!$F$8:$F$42)-MIN(ROW('03.Muestra'!$D$8:$D$42))+1,""),ROW()-284)),"")</f>
        <v>https://www.comunidad.madrid/hospital/santacristina/declaracion-accesibilidad</v>
      </c>
      <c r="D302" s="99" t="s">
        <v>94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LEGAL</v>
      </c>
      <c r="C303" s="85" t="str" cm="1">
        <f t="array" ref="C303">IFERROR(INDEX('03.Muestra'!$F$8:$F$42,SMALL(IF("Página Web"='03.Muestra'!$D$8:$D$42,ROW('03.Muestra'!$F$8:$F$42)-MIN(ROW('03.Muestra'!$D$8:$D$42))+1,""),ROW()-284)),"")</f>
        <v>https://www.comunidad.madrid/hospital/santacristina/ciudadanos/aviso-legal-privacidad</v>
      </c>
      <c r="D303" s="99" t="s">
        <v>94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MAPA WEB</v>
      </c>
      <c r="C304" s="85" t="str" cm="1">
        <f t="array" ref="C304">IFERROR(INDEX('03.Muestra'!$F$8:$F$42,SMALL(IF("Página Web"='03.Muestra'!$D$8:$D$42,ROW('03.Muestra'!$F$8:$F$42)-MIN(ROW('03.Muestra'!$D$8:$D$42))+1,""),ROW()-284)),"")</f>
        <v>https://www.comunidad.madrid/hospital/santacristina/sitemap</v>
      </c>
      <c r="D304" s="99" t="s">
        <v>94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https://www.comunidad.madrid/hospital/santacristina/</v>
      </c>
      <c r="D323" s="99" t="s">
        <v>94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https://www.comunidad.madrid/hospital/santacristina/ciudadanos</v>
      </c>
      <c r="D324" s="99" t="s">
        <v>94</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20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https://www.comunidad.madrid/hospital/santacristina/profesionales</v>
      </c>
      <c r="D325" s="99" t="s">
        <v>94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https://www.comunidad.madrid/hospital/santacristina/comunicacion</v>
      </c>
      <c r="D326" s="99" t="s">
        <v>94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https://www.comunidad.madrid/hospital/santacristina/nosotros</v>
      </c>
      <c r="D327" s="99" t="s">
        <v>94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https://www.comunidad.madrid/hospital/santacristina/buscar?search_api_fulltext=&amp;nombre=</v>
      </c>
      <c r="D328" s="99" t="s">
        <v>94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ATENCIÓN AL PACIENTE</v>
      </c>
      <c r="C329" s="85" t="str" cm="1">
        <f t="array" ref="C329">IFERROR(INDEX('03.Muestra'!$F$8:$F$42,SMALL(IF("Página Web"='03.Muestra'!$D$8:$D$42,ROW('03.Muestra'!$F$8:$F$42)-MIN(ROW('03.Muestra'!$D$8:$D$42))+1,""),ROW()-322)),"")</f>
        <v>https://www.comunidad.madrid/hospital/santacristina/ciudadanos/atencion-paciente</v>
      </c>
      <c r="D329" s="99" t="s">
        <v>94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ATENCIÓN ESPIRITUAL</v>
      </c>
      <c r="C330" s="85" t="str" cm="1">
        <f t="array" ref="C330">IFERROR(INDEX('03.Muestra'!$F$8:$F$42,SMALL(IF("Página Web"='03.Muestra'!$D$8:$D$42,ROW('03.Muestra'!$F$8:$F$42)-MIN(ROW('03.Muestra'!$D$8:$D$42))+1,""),ROW()-322)),"")</f>
        <v>https://www.comunidad.madrid/hospital/santacristina/ciudadanos/atencion-espiritual-religiosa</v>
      </c>
      <c r="D330" s="99" t="s">
        <v>94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LOCALIZACIÓN Y ACCESO</v>
      </c>
      <c r="C331" s="85" t="str" cm="1">
        <f t="array" ref="C331">IFERROR(INDEX('03.Muestra'!$F$8:$F$42,SMALL(IF("Página Web"='03.Muestra'!$D$8:$D$42,ROW('03.Muestra'!$F$8:$F$42)-MIN(ROW('03.Muestra'!$D$8:$D$42))+1,""),ROW()-322)),"")</f>
        <v>https://www.comunidad.madrid/hospital/santacristina/ciudadanos/localizacion-acceso</v>
      </c>
      <c r="D331" s="99" t="s">
        <v>94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GUÍAS DE USUARIO</v>
      </c>
      <c r="C332" s="85" t="str" cm="1">
        <f t="array" ref="C332">IFERROR(INDEX('03.Muestra'!$F$8:$F$42,SMALL(IF("Página Web"='03.Muestra'!$D$8:$D$42,ROW('03.Muestra'!$F$8:$F$42)-MIN(ROW('03.Muestra'!$D$8:$D$42))+1,""),ROW()-322)),"")</f>
        <v>https://www.comunidad.madrid/hospital/santacristina/ciudadanos/guias-usuario</v>
      </c>
      <c r="D332" s="99" t="s">
        <v>94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SERVICIOS QUIRÚRGICOS</v>
      </c>
      <c r="C333" s="85" t="str" cm="1">
        <f t="array" ref="C333">IFERROR(INDEX('03.Muestra'!$F$8:$F$42,SMALL(IF("Página Web"='03.Muestra'!$D$8:$D$42,ROW('03.Muestra'!$F$8:$F$42)-MIN(ROW('03.Muestra'!$D$8:$D$42))+1,""),ROW()-322)),"")</f>
        <v>https://www.comunidad.madrid/hospital/santacristina/profesionales/servicios-quirurgicos-0</v>
      </c>
      <c r="D333" s="99" t="s">
        <v>94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INVESTIGACIÓN</v>
      </c>
      <c r="C334" s="85" t="str" cm="1">
        <f t="array" ref="C334">IFERROR(INDEX('03.Muestra'!$F$8:$F$42,SMALL(IF("Página Web"='03.Muestra'!$D$8:$D$42,ROW('03.Muestra'!$F$8:$F$42)-MIN(ROW('03.Muestra'!$D$8:$D$42))+1,""),ROW()-322)),"")</f>
        <v>https://www.comunidad.madrid/hospital/santacristina/profesionales/investigacion-0</v>
      </c>
      <c r="D334" s="99" t="s">
        <v>94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NOTICIAS</v>
      </c>
      <c r="C335" s="85" t="str" cm="1">
        <f t="array" ref="C335">IFERROR(INDEX('03.Muestra'!$F$8:$F$42,SMALL(IF("Página Web"='03.Muestra'!$D$8:$D$42,ROW('03.Muestra'!$F$8:$F$42)-MIN(ROW('03.Muestra'!$D$8:$D$42))+1,""),ROW()-322)),"")</f>
        <v>https://www.comunidad.madrid/hospital/santacristina/comunicacion/noticias</v>
      </c>
      <c r="D335" s="99" t="s">
        <v>94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ACTOS DEL CENTENARIO</v>
      </c>
      <c r="C336" s="85" t="str" cm="1">
        <f t="array" ref="C336">IFERROR(INDEX('03.Muestra'!$F$8:$F$42,SMALL(IF("Página Web"='03.Muestra'!$D$8:$D$42,ROW('03.Muestra'!$F$8:$F$42)-MIN(ROW('03.Muestra'!$D$8:$D$42))+1,""),ROW()-322)),"")</f>
        <v>https://www.comunidad.madrid/hospital/santacristina/nosotros/actos-centenario</v>
      </c>
      <c r="D336" s="99" t="s">
        <v>94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ACCESIBILIDAD HOSPITAL</v>
      </c>
      <c r="C337" s="85" t="str" cm="1">
        <f t="array" ref="C337">IFERROR(INDEX('03.Muestra'!$F$8:$F$42,SMALL(IF("Página Web"='03.Muestra'!$D$8:$D$42,ROW('03.Muestra'!$F$8:$F$42)-MIN(ROW('03.Muestra'!$D$8:$D$42))+1,""),ROW()-322)),"")</f>
        <v>https://www.comunidad.madrid/hospital/santacristina/nosotros/accesibilidad-hospital</v>
      </c>
      <c r="D337" s="99" t="s">
        <v>94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CARTERA DE SERVICIOS</v>
      </c>
      <c r="C338" s="85" t="str" cm="1">
        <f t="array" ref="C338">IFERROR(INDEX('03.Muestra'!$F$8:$F$42,SMALL(IF("Página Web"='03.Muestra'!$D$8:$D$42,ROW('03.Muestra'!$F$8:$F$42)-MIN(ROW('03.Muestra'!$D$8:$D$42))+1,""),ROW()-322)),"")</f>
        <v>https://www.comunidad.madrid/hospital/santacristina/nosotros/cartera-servicios</v>
      </c>
      <c r="D338" s="99" t="s">
        <v>94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CONTACTO</v>
      </c>
      <c r="C339" s="85" t="str" cm="1">
        <f t="array" ref="C339">IFERROR(INDEX('03.Muestra'!$F$8:$F$42,SMALL(IF("Página Web"='03.Muestra'!$D$8:$D$42,ROW('03.Muestra'!$F$8:$F$42)-MIN(ROW('03.Muestra'!$D$8:$D$42))+1,""),ROW()-322)),"")</f>
        <v>https://www.comunidad.madrid/hospital/santacristina/comunicacion/contacto</v>
      </c>
      <c r="D339" s="99" t="s">
        <v>94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ACCESIBILIDAD</v>
      </c>
      <c r="C340" s="85" t="str" cm="1">
        <f t="array" ref="C340">IFERROR(INDEX('03.Muestra'!$F$8:$F$42,SMALL(IF("Página Web"='03.Muestra'!$D$8:$D$42,ROW('03.Muestra'!$F$8:$F$42)-MIN(ROW('03.Muestra'!$D$8:$D$42))+1,""),ROW()-322)),"")</f>
        <v>https://www.comunidad.madrid/hospital/santacristina/declaracion-accesibilidad</v>
      </c>
      <c r="D340" s="99" t="s">
        <v>94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LEGAL</v>
      </c>
      <c r="C341" s="85" t="str" cm="1">
        <f t="array" ref="C341">IFERROR(INDEX('03.Muestra'!$F$8:$F$42,SMALL(IF("Página Web"='03.Muestra'!$D$8:$D$42,ROW('03.Muestra'!$F$8:$F$42)-MIN(ROW('03.Muestra'!$D$8:$D$42))+1,""),ROW()-322)),"")</f>
        <v>https://www.comunidad.madrid/hospital/santacristina/ciudadanos/aviso-legal-privacidad</v>
      </c>
      <c r="D341" s="99" t="s">
        <v>94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MAPA WEB</v>
      </c>
      <c r="C342" s="85" t="str" cm="1">
        <f t="array" ref="C342">IFERROR(INDEX('03.Muestra'!$F$8:$F$42,SMALL(IF("Página Web"='03.Muestra'!$D$8:$D$42,ROW('03.Muestra'!$F$8:$F$42)-MIN(ROW('03.Muestra'!$D$8:$D$42))+1,""),ROW()-322)),"")</f>
        <v>https://www.comunidad.madrid/hospital/santacristina/sitemap</v>
      </c>
      <c r="D342" s="99" t="s">
        <v>94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https://www.comunidad.madrid/hospital/santacristina/</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https://www.comunidad.madrid/hospital/santacristina/ciudadanos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https://www.comunidad.madrid/hospital/santacristina/profesionales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https://www.comunidad.madrid/hospital/santacristina/comunicacion</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https://www.comunidad.madrid/hospital/santacristina/nosotros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https://www.comunidad.madrid/hospital/santacristina/buscar?search_api_fulltext=&amp;nombre=</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ATENCIÓN AL PACIENTE</v>
      </c>
      <c r="C367" s="85" t="str" cm="1">
        <f t="array" ref="C367">IFERROR(INDEX('03.Muestra'!$F$8:$F$42,SMALL(IF("Página Web"='03.Muestra'!$D$8:$D$42,ROW('03.Muestra'!$F$8:$F$42)-MIN(ROW('03.Muestra'!$D$8:$D$42))+1,""),ROW()-360)),"")</f>
        <v>https://www.comunidad.madrid/hospital/santacristina/ciudadanos/atencion-paciente</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ATENCIÓN ESPIRITUAL</v>
      </c>
      <c r="C368" s="85" t="str" cm="1">
        <f t="array" ref="C368">IFERROR(INDEX('03.Muestra'!$F$8:$F$42,SMALL(IF("Página Web"='03.Muestra'!$D$8:$D$42,ROW('03.Muestra'!$F$8:$F$42)-MIN(ROW('03.Muestra'!$D$8:$D$42))+1,""),ROW()-360)),"")</f>
        <v>https://www.comunidad.madrid/hospital/santacristina/ciudadanos/atencion-espiritual-religiosa</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LOCALIZACIÓN Y ACCESO</v>
      </c>
      <c r="C369" s="85" t="str" cm="1">
        <f t="array" ref="C369">IFERROR(INDEX('03.Muestra'!$F$8:$F$42,SMALL(IF("Página Web"='03.Muestra'!$D$8:$D$42,ROW('03.Muestra'!$F$8:$F$42)-MIN(ROW('03.Muestra'!$D$8:$D$42))+1,""),ROW()-360)),"")</f>
        <v>https://www.comunidad.madrid/hospital/santacristina/ciudadanos/localizacion-acceso</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GUÍAS DE USUARIO</v>
      </c>
      <c r="C370" s="85" t="str" cm="1">
        <f t="array" ref="C370">IFERROR(INDEX('03.Muestra'!$F$8:$F$42,SMALL(IF("Página Web"='03.Muestra'!$D$8:$D$42,ROW('03.Muestra'!$F$8:$F$42)-MIN(ROW('03.Muestra'!$D$8:$D$42))+1,""),ROW()-360)),"")</f>
        <v>https://www.comunidad.madrid/hospital/santacristina/ciudadanos/guias-usuario</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SERVICIOS QUIRÚRGICOS</v>
      </c>
      <c r="C371" s="85" t="str" cm="1">
        <f t="array" ref="C371">IFERROR(INDEX('03.Muestra'!$F$8:$F$42,SMALL(IF("Página Web"='03.Muestra'!$D$8:$D$42,ROW('03.Muestra'!$F$8:$F$42)-MIN(ROW('03.Muestra'!$D$8:$D$42))+1,""),ROW()-360)),"")</f>
        <v>https://www.comunidad.madrid/hospital/santacristina/profesionales/servicios-quirurgicos-0</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INVESTIGACIÓN</v>
      </c>
      <c r="C372" s="85" t="str" cm="1">
        <f t="array" ref="C372">IFERROR(INDEX('03.Muestra'!$F$8:$F$42,SMALL(IF("Página Web"='03.Muestra'!$D$8:$D$42,ROW('03.Muestra'!$F$8:$F$42)-MIN(ROW('03.Muestra'!$D$8:$D$42))+1,""),ROW()-360)),"")</f>
        <v>https://www.comunidad.madrid/hospital/santacristina/profesionales/investigacion-0</v>
      </c>
      <c r="D372" s="99" t="s">
        <v>104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NOTICIAS</v>
      </c>
      <c r="C373" s="85" t="str" cm="1">
        <f t="array" ref="C373">IFERROR(INDEX('03.Muestra'!$F$8:$F$42,SMALL(IF("Página Web"='03.Muestra'!$D$8:$D$42,ROW('03.Muestra'!$F$8:$F$42)-MIN(ROW('03.Muestra'!$D$8:$D$42))+1,""),ROW()-360)),"")</f>
        <v>https://www.comunidad.madrid/hospital/santacristina/comunicacion/noticias</v>
      </c>
      <c r="D373" s="99" t="s">
        <v>104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ACTOS DEL CENTENARIO</v>
      </c>
      <c r="C374" s="85" t="str" cm="1">
        <f t="array" ref="C374">IFERROR(INDEX('03.Muestra'!$F$8:$F$42,SMALL(IF("Página Web"='03.Muestra'!$D$8:$D$42,ROW('03.Muestra'!$F$8:$F$42)-MIN(ROW('03.Muestra'!$D$8:$D$42))+1,""),ROW()-360)),"")</f>
        <v>https://www.comunidad.madrid/hospital/santacristina/nosotros/actos-centenario</v>
      </c>
      <c r="D374" s="99" t="s">
        <v>104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ACCESIBILIDAD HOSPITAL</v>
      </c>
      <c r="C375" s="85" t="str" cm="1">
        <f t="array" ref="C375">IFERROR(INDEX('03.Muestra'!$F$8:$F$42,SMALL(IF("Página Web"='03.Muestra'!$D$8:$D$42,ROW('03.Muestra'!$F$8:$F$42)-MIN(ROW('03.Muestra'!$D$8:$D$42))+1,""),ROW()-360)),"")</f>
        <v>https://www.comunidad.madrid/hospital/santacristina/nosotros/accesibilidad-hospital</v>
      </c>
      <c r="D375" s="99" t="s">
        <v>104</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CARTERA DE SERVICIOS</v>
      </c>
      <c r="C376" s="85" t="str" cm="1">
        <f t="array" ref="C376">IFERROR(INDEX('03.Muestra'!$F$8:$F$42,SMALL(IF("Página Web"='03.Muestra'!$D$8:$D$42,ROW('03.Muestra'!$F$8:$F$42)-MIN(ROW('03.Muestra'!$D$8:$D$42))+1,""),ROW()-360)),"")</f>
        <v>https://www.comunidad.madrid/hospital/santacristina/nosotros/cartera-servicios</v>
      </c>
      <c r="D376" s="99" t="s">
        <v>104</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CONTACTO</v>
      </c>
      <c r="C377" s="85" t="str" cm="1">
        <f t="array" ref="C377">IFERROR(INDEX('03.Muestra'!$F$8:$F$42,SMALL(IF("Página Web"='03.Muestra'!$D$8:$D$42,ROW('03.Muestra'!$F$8:$F$42)-MIN(ROW('03.Muestra'!$D$8:$D$42))+1,""),ROW()-360)),"")</f>
        <v>https://www.comunidad.madrid/hospital/santacristina/comunicacion/contacto</v>
      </c>
      <c r="D377" s="99" t="s">
        <v>104</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ACCESIBILIDAD</v>
      </c>
      <c r="C378" s="85" t="str" cm="1">
        <f t="array" ref="C378">IFERROR(INDEX('03.Muestra'!$F$8:$F$42,SMALL(IF("Página Web"='03.Muestra'!$D$8:$D$42,ROW('03.Muestra'!$F$8:$F$42)-MIN(ROW('03.Muestra'!$D$8:$D$42))+1,""),ROW()-360)),"")</f>
        <v>https://www.comunidad.madrid/hospital/santacristina/declaracion-accesibilidad</v>
      </c>
      <c r="D378" s="99" t="s">
        <v>104</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LEGAL</v>
      </c>
      <c r="C379" s="85" t="str" cm="1">
        <f t="array" ref="C379">IFERROR(INDEX('03.Muestra'!$F$8:$F$42,SMALL(IF("Página Web"='03.Muestra'!$D$8:$D$42,ROW('03.Muestra'!$F$8:$F$42)-MIN(ROW('03.Muestra'!$D$8:$D$42))+1,""),ROW()-360)),"")</f>
        <v>https://www.comunidad.madrid/hospital/santacristina/ciudadanos/aviso-legal-privacidad</v>
      </c>
      <c r="D379" s="99" t="s">
        <v>104</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MAPA WEB</v>
      </c>
      <c r="C380" s="85" t="str" cm="1">
        <f t="array" ref="C380">IFERROR(INDEX('03.Muestra'!$F$8:$F$42,SMALL(IF("Página Web"='03.Muestra'!$D$8:$D$42,ROW('03.Muestra'!$F$8:$F$42)-MIN(ROW('03.Muestra'!$D$8:$D$42))+1,""),ROW()-360)),"")</f>
        <v>https://www.comunidad.madrid/hospital/santacristina/sitemap</v>
      </c>
      <c r="D380" s="99" t="s">
        <v>104</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https://www.comunidad.madrid/hospital/santacristina/</v>
      </c>
      <c r="D399" s="99" t="s">
        <v>104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https://www.comunidad.madrid/hospital/santacristina/ciudadanos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17</v>
      </c>
      <c r="I400" s="91">
        <f ca="1">COUNTIF($D399:INDIRECT("$D" &amp;  SUM(ROW()-1,'03.Muestra'!$D$45)-1),I399)</f>
        <v>3</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https://www.comunidad.madrid/hospital/santacristina/profesionales</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https://www.comunidad.madrid/hospital/santacristina/comunicacion</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https://www.comunidad.madrid/hospital/santacristina/nosotros</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https://www.comunidad.madrid/hospital/santacristina/buscar?search_api_fulltext=&amp;nombre=</v>
      </c>
      <c r="D404" s="99" t="s">
        <v>94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ATENCIÓN AL PACIENTE</v>
      </c>
      <c r="C405" s="85" t="str" cm="1">
        <f t="array" ref="C405">IFERROR(INDEX('03.Muestra'!$F$8:$F$42,SMALL(IF("Página Web"='03.Muestra'!$D$8:$D$42,ROW('03.Muestra'!$F$8:$F$42)-MIN(ROW('03.Muestra'!$D$8:$D$42))+1,""),ROW()-398)),"")</f>
        <v>https://www.comunidad.madrid/hospital/santacristina/ciudadanos/atencion-paciente</v>
      </c>
      <c r="D405" s="99" t="s">
        <v>94</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ATENCIÓN ESPIRITUAL</v>
      </c>
      <c r="C406" s="85" t="str" cm="1">
        <f t="array" ref="C406">IFERROR(INDEX('03.Muestra'!$F$8:$F$42,SMALL(IF("Página Web"='03.Muestra'!$D$8:$D$42,ROW('03.Muestra'!$F$8:$F$42)-MIN(ROW('03.Muestra'!$D$8:$D$42))+1,""),ROW()-398)),"")</f>
        <v>https://www.comunidad.madrid/hospital/santacristina/ciudadanos/atencion-espiritual-religiosa</v>
      </c>
      <c r="D406" s="99" t="s">
        <v>104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LOCALIZACIÓN Y ACCESO</v>
      </c>
      <c r="C407" s="85" t="str" cm="1">
        <f t="array" ref="C407">IFERROR(INDEX('03.Muestra'!$F$8:$F$42,SMALL(IF("Página Web"='03.Muestra'!$D$8:$D$42,ROW('03.Muestra'!$F$8:$F$42)-MIN(ROW('03.Muestra'!$D$8:$D$42))+1,""),ROW()-398)),"")</f>
        <v>https://www.comunidad.madrid/hospital/santacristina/ciudadanos/localizacion-acceso</v>
      </c>
      <c r="D407" s="99" t="s">
        <v>104</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GUÍAS DE USUARIO</v>
      </c>
      <c r="C408" s="85" t="str" cm="1">
        <f t="array" ref="C408">IFERROR(INDEX('03.Muestra'!$F$8:$F$42,SMALL(IF("Página Web"='03.Muestra'!$D$8:$D$42,ROW('03.Muestra'!$F$8:$F$42)-MIN(ROW('03.Muestra'!$D$8:$D$42))+1,""),ROW()-398)),"")</f>
        <v>https://www.comunidad.madrid/hospital/santacristina/ciudadanos/guias-usuario</v>
      </c>
      <c r="D408" s="99" t="s">
        <v>104</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SERVICIOS QUIRÚRGICOS</v>
      </c>
      <c r="C409" s="85" t="str" cm="1">
        <f t="array" ref="C409">IFERROR(INDEX('03.Muestra'!$F$8:$F$42,SMALL(IF("Página Web"='03.Muestra'!$D$8:$D$42,ROW('03.Muestra'!$F$8:$F$42)-MIN(ROW('03.Muestra'!$D$8:$D$42))+1,""),ROW()-398)),"")</f>
        <v>https://www.comunidad.madrid/hospital/santacristina/profesionales/servicios-quirurgicos-0</v>
      </c>
      <c r="D409" s="99" t="s">
        <v>104</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INVESTIGACIÓN</v>
      </c>
      <c r="C410" s="85" t="str" cm="1">
        <f t="array" ref="C410">IFERROR(INDEX('03.Muestra'!$F$8:$F$42,SMALL(IF("Página Web"='03.Muestra'!$D$8:$D$42,ROW('03.Muestra'!$F$8:$F$42)-MIN(ROW('03.Muestra'!$D$8:$D$42))+1,""),ROW()-398)),"")</f>
        <v>https://www.comunidad.madrid/hospital/santacristina/profesionales/investigacion-0</v>
      </c>
      <c r="D410" s="99" t="s">
        <v>104</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NOTICIAS</v>
      </c>
      <c r="C411" s="85" t="str" cm="1">
        <f t="array" ref="C411">IFERROR(INDEX('03.Muestra'!$F$8:$F$42,SMALL(IF("Página Web"='03.Muestra'!$D$8:$D$42,ROW('03.Muestra'!$F$8:$F$42)-MIN(ROW('03.Muestra'!$D$8:$D$42))+1,""),ROW()-398)),"")</f>
        <v>https://www.comunidad.madrid/hospital/santacristina/comunicacion/noticias</v>
      </c>
      <c r="D411" s="99" t="s">
        <v>104</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ACTOS DEL CENTENARIO</v>
      </c>
      <c r="C412" s="85" t="str" cm="1">
        <f t="array" ref="C412">IFERROR(INDEX('03.Muestra'!$F$8:$F$42,SMALL(IF("Página Web"='03.Muestra'!$D$8:$D$42,ROW('03.Muestra'!$F$8:$F$42)-MIN(ROW('03.Muestra'!$D$8:$D$42))+1,""),ROW()-398)),"")</f>
        <v>https://www.comunidad.madrid/hospital/santacristina/nosotros/actos-centenario</v>
      </c>
      <c r="D412" s="99" t="s">
        <v>104</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ACCESIBILIDAD HOSPITAL</v>
      </c>
      <c r="C413" s="85" t="str" cm="1">
        <f t="array" ref="C413">IFERROR(INDEX('03.Muestra'!$F$8:$F$42,SMALL(IF("Página Web"='03.Muestra'!$D$8:$D$42,ROW('03.Muestra'!$F$8:$F$42)-MIN(ROW('03.Muestra'!$D$8:$D$42))+1,""),ROW()-398)),"")</f>
        <v>https://www.comunidad.madrid/hospital/santacristina/nosotros/accesibilidad-hospital</v>
      </c>
      <c r="D413" s="99" t="s">
        <v>104</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CARTERA DE SERVICIOS</v>
      </c>
      <c r="C414" s="85" t="str" cm="1">
        <f t="array" ref="C414">IFERROR(INDEX('03.Muestra'!$F$8:$F$42,SMALL(IF("Página Web"='03.Muestra'!$D$8:$D$42,ROW('03.Muestra'!$F$8:$F$42)-MIN(ROW('03.Muestra'!$D$8:$D$42))+1,""),ROW()-398)),"")</f>
        <v>https://www.comunidad.madrid/hospital/santacristina/nosotros/cartera-servicios</v>
      </c>
      <c r="D414" s="99" t="s">
        <v>104</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CONTACTO</v>
      </c>
      <c r="C415" s="85" t="str" cm="1">
        <f t="array" ref="C415">IFERROR(INDEX('03.Muestra'!$F$8:$F$42,SMALL(IF("Página Web"='03.Muestra'!$D$8:$D$42,ROW('03.Muestra'!$F$8:$F$42)-MIN(ROW('03.Muestra'!$D$8:$D$42))+1,""),ROW()-398)),"")</f>
        <v>https://www.comunidad.madrid/hospital/santacristina/comunicacion/contacto</v>
      </c>
      <c r="D415" s="99" t="s">
        <v>94</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ACCESIBILIDAD</v>
      </c>
      <c r="C416" s="85" t="str" cm="1">
        <f t="array" ref="C416">IFERROR(INDEX('03.Muestra'!$F$8:$F$42,SMALL(IF("Página Web"='03.Muestra'!$D$8:$D$42,ROW('03.Muestra'!$F$8:$F$42)-MIN(ROW('03.Muestra'!$D$8:$D$42))+1,""),ROW()-398)),"")</f>
        <v>https://www.comunidad.madrid/hospital/santacristina/declaracion-accesibilidad</v>
      </c>
      <c r="D416" s="99" t="s">
        <v>104</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LEGAL</v>
      </c>
      <c r="C417" s="85" t="str" cm="1">
        <f t="array" ref="C417">IFERROR(INDEX('03.Muestra'!$F$8:$F$42,SMALL(IF("Página Web"='03.Muestra'!$D$8:$D$42,ROW('03.Muestra'!$F$8:$F$42)-MIN(ROW('03.Muestra'!$D$8:$D$42))+1,""),ROW()-398)),"")</f>
        <v>https://www.comunidad.madrid/hospital/santacristina/ciudadanos/aviso-legal-privacidad</v>
      </c>
      <c r="D417" s="99" t="s">
        <v>104</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MAPA WEB</v>
      </c>
      <c r="C418" s="85" t="str" cm="1">
        <f t="array" ref="C418">IFERROR(INDEX('03.Muestra'!$F$8:$F$42,SMALL(IF("Página Web"='03.Muestra'!$D$8:$D$42,ROW('03.Muestra'!$F$8:$F$42)-MIN(ROW('03.Muestra'!$D$8:$D$42))+1,""),ROW()-398)),"")</f>
        <v>https://www.comunidad.madrid/hospital/santacristina/sitemap</v>
      </c>
      <c r="D418" s="99" t="s">
        <v>104</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https://www.comunidad.madrid/hospital/santacristina/</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https://www.comunidad.madrid/hospital/santacristina/ciudadanos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https://www.comunidad.madrid/hospital/santacristina/profesionales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https://www.comunidad.madrid/hospital/santacristina/comunicacion</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https://www.comunidad.madrid/hospital/santacristina/nosotros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https://www.comunidad.madrid/hospital/santacristina/buscar?search_api_fulltext=&amp;nombre=</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ATENCIÓN AL PACIENTE</v>
      </c>
      <c r="C443" s="85" t="str" cm="1">
        <f t="array" ref="C443">IFERROR(INDEX('03.Muestra'!$F$8:$F$42,SMALL(IF("Página Web"='03.Muestra'!$D$8:$D$42,ROW('03.Muestra'!$F$8:$F$42)-MIN(ROW('03.Muestra'!$D$8:$D$42))+1,""),ROW()-436)),"")</f>
        <v>https://www.comunidad.madrid/hospital/santacristina/ciudadanos/atencion-paciente</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ATENCIÓN ESPIRITUAL</v>
      </c>
      <c r="C444" s="85" t="str" cm="1">
        <f t="array" ref="C444">IFERROR(INDEX('03.Muestra'!$F$8:$F$42,SMALL(IF("Página Web"='03.Muestra'!$D$8:$D$42,ROW('03.Muestra'!$F$8:$F$42)-MIN(ROW('03.Muestra'!$D$8:$D$42))+1,""),ROW()-436)),"")</f>
        <v>https://www.comunidad.madrid/hospital/santacristina/ciudadanos/atencion-espiritual-religiosa</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LOCALIZACIÓN Y ACCESO</v>
      </c>
      <c r="C445" s="85" t="str" cm="1">
        <f t="array" ref="C445">IFERROR(INDEX('03.Muestra'!$F$8:$F$42,SMALL(IF("Página Web"='03.Muestra'!$D$8:$D$42,ROW('03.Muestra'!$F$8:$F$42)-MIN(ROW('03.Muestra'!$D$8:$D$42))+1,""),ROW()-436)),"")</f>
        <v>https://www.comunidad.madrid/hospital/santacristina/ciudadanos/localizacion-acceso</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GUÍAS DE USUARIO</v>
      </c>
      <c r="C446" s="85" t="str" cm="1">
        <f t="array" ref="C446">IFERROR(INDEX('03.Muestra'!$F$8:$F$42,SMALL(IF("Página Web"='03.Muestra'!$D$8:$D$42,ROW('03.Muestra'!$F$8:$F$42)-MIN(ROW('03.Muestra'!$D$8:$D$42))+1,""),ROW()-436)),"")</f>
        <v>https://www.comunidad.madrid/hospital/santacristina/ciudadanos/guias-usuario</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SERVICIOS QUIRÚRGICOS</v>
      </c>
      <c r="C447" s="85" t="str" cm="1">
        <f t="array" ref="C447">IFERROR(INDEX('03.Muestra'!$F$8:$F$42,SMALL(IF("Página Web"='03.Muestra'!$D$8:$D$42,ROW('03.Muestra'!$F$8:$F$42)-MIN(ROW('03.Muestra'!$D$8:$D$42))+1,""),ROW()-436)),"")</f>
        <v>https://www.comunidad.madrid/hospital/santacristina/profesionales/servicios-quirurgicos-0</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INVESTIGACIÓN</v>
      </c>
      <c r="C448" s="85" t="str" cm="1">
        <f t="array" ref="C448">IFERROR(INDEX('03.Muestra'!$F$8:$F$42,SMALL(IF("Página Web"='03.Muestra'!$D$8:$D$42,ROW('03.Muestra'!$F$8:$F$42)-MIN(ROW('03.Muestra'!$D$8:$D$42))+1,""),ROW()-436)),"")</f>
        <v>https://www.comunidad.madrid/hospital/santacristina/profesionales/investigacion-0</v>
      </c>
      <c r="D448" s="99" t="s">
        <v>104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NOTICIAS</v>
      </c>
      <c r="C449" s="85" t="str" cm="1">
        <f t="array" ref="C449">IFERROR(INDEX('03.Muestra'!$F$8:$F$42,SMALL(IF("Página Web"='03.Muestra'!$D$8:$D$42,ROW('03.Muestra'!$F$8:$F$42)-MIN(ROW('03.Muestra'!$D$8:$D$42))+1,""),ROW()-436)),"")</f>
        <v>https://www.comunidad.madrid/hospital/santacristina/comunicacion/noticias</v>
      </c>
      <c r="D449" s="99" t="s">
        <v>104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ACTOS DEL CENTENARIO</v>
      </c>
      <c r="C450" s="85" t="str" cm="1">
        <f t="array" ref="C450">IFERROR(INDEX('03.Muestra'!$F$8:$F$42,SMALL(IF("Página Web"='03.Muestra'!$D$8:$D$42,ROW('03.Muestra'!$F$8:$F$42)-MIN(ROW('03.Muestra'!$D$8:$D$42))+1,""),ROW()-436)),"")</f>
        <v>https://www.comunidad.madrid/hospital/santacristina/nosotros/actos-centenario</v>
      </c>
      <c r="D450" s="99" t="s">
        <v>104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ACCESIBILIDAD HOSPITAL</v>
      </c>
      <c r="C451" s="85" t="str" cm="1">
        <f t="array" ref="C451">IFERROR(INDEX('03.Muestra'!$F$8:$F$42,SMALL(IF("Página Web"='03.Muestra'!$D$8:$D$42,ROW('03.Muestra'!$F$8:$F$42)-MIN(ROW('03.Muestra'!$D$8:$D$42))+1,""),ROW()-436)),"")</f>
        <v>https://www.comunidad.madrid/hospital/santacristina/nosotros/accesibilidad-hospital</v>
      </c>
      <c r="D451" s="99" t="s">
        <v>104</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CARTERA DE SERVICIOS</v>
      </c>
      <c r="C452" s="85" t="str" cm="1">
        <f t="array" ref="C452">IFERROR(INDEX('03.Muestra'!$F$8:$F$42,SMALL(IF("Página Web"='03.Muestra'!$D$8:$D$42,ROW('03.Muestra'!$F$8:$F$42)-MIN(ROW('03.Muestra'!$D$8:$D$42))+1,""),ROW()-436)),"")</f>
        <v>https://www.comunidad.madrid/hospital/santacristina/nosotros/cartera-servicios</v>
      </c>
      <c r="D452" s="99" t="s">
        <v>104</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CONTACTO</v>
      </c>
      <c r="C453" s="85" t="str" cm="1">
        <f t="array" ref="C453">IFERROR(INDEX('03.Muestra'!$F$8:$F$42,SMALL(IF("Página Web"='03.Muestra'!$D$8:$D$42,ROW('03.Muestra'!$F$8:$F$42)-MIN(ROW('03.Muestra'!$D$8:$D$42))+1,""),ROW()-436)),"")</f>
        <v>https://www.comunidad.madrid/hospital/santacristina/comunicacion/contacto</v>
      </c>
      <c r="D453" s="99" t="s">
        <v>104</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ACCESIBILIDAD</v>
      </c>
      <c r="C454" s="85" t="str" cm="1">
        <f t="array" ref="C454">IFERROR(INDEX('03.Muestra'!$F$8:$F$42,SMALL(IF("Página Web"='03.Muestra'!$D$8:$D$42,ROW('03.Muestra'!$F$8:$F$42)-MIN(ROW('03.Muestra'!$D$8:$D$42))+1,""),ROW()-436)),"")</f>
        <v>https://www.comunidad.madrid/hospital/santacristina/declaracion-accesibilidad</v>
      </c>
      <c r="D454" s="99" t="s">
        <v>104</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LEGAL</v>
      </c>
      <c r="C455" s="85" t="str" cm="1">
        <f t="array" ref="C455">IFERROR(INDEX('03.Muestra'!$F$8:$F$42,SMALL(IF("Página Web"='03.Muestra'!$D$8:$D$42,ROW('03.Muestra'!$F$8:$F$42)-MIN(ROW('03.Muestra'!$D$8:$D$42))+1,""),ROW()-436)),"")</f>
        <v>https://www.comunidad.madrid/hospital/santacristina/ciudadanos/aviso-legal-privacidad</v>
      </c>
      <c r="D455" s="99" t="s">
        <v>104</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MAPA WEB</v>
      </c>
      <c r="C456" s="85" t="str" cm="1">
        <f t="array" ref="C456">IFERROR(INDEX('03.Muestra'!$F$8:$F$42,SMALL(IF("Página Web"='03.Muestra'!$D$8:$D$42,ROW('03.Muestra'!$F$8:$F$42)-MIN(ROW('03.Muestra'!$D$8:$D$42))+1,""),ROW()-436)),"")</f>
        <v>https://www.comunidad.madrid/hospital/santacristina/sitemap</v>
      </c>
      <c r="D456" s="99" t="s">
        <v>104</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https://www.comunidad.madrid/hospital/santacristina/</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https://www.comunidad.madrid/hospital/santacristina/ciudadanos</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19</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https://www.comunidad.madrid/hospital/santacristina/profesionales</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https://www.comunidad.madrid/hospital/santacristina/comunicacion</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https://www.comunidad.madrid/hospital/santacristina/nosotros</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https://www.comunidad.madrid/hospital/santacristina/buscar?search_api_fulltext=&amp;nombre=</v>
      </c>
      <c r="D480" s="99" t="s">
        <v>94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ATENCIÓN AL PACIENTE</v>
      </c>
      <c r="C481" s="85" t="str" cm="1">
        <f t="array" ref="C481">IFERROR(INDEX('03.Muestra'!$F$8:$F$42,SMALL(IF("Página Web"='03.Muestra'!$D$8:$D$42,ROW('03.Muestra'!$F$8:$F$42)-MIN(ROW('03.Muestra'!$D$8:$D$42))+1,""),ROW()-474)),"")</f>
        <v>https://www.comunidad.madrid/hospital/santacristina/ciudadanos/atencion-paciente</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ATENCIÓN ESPIRITUAL</v>
      </c>
      <c r="C482" s="85" t="str" cm="1">
        <f t="array" ref="C482">IFERROR(INDEX('03.Muestra'!$F$8:$F$42,SMALL(IF("Página Web"='03.Muestra'!$D$8:$D$42,ROW('03.Muestra'!$F$8:$F$42)-MIN(ROW('03.Muestra'!$D$8:$D$42))+1,""),ROW()-474)),"")</f>
        <v>https://www.comunidad.madrid/hospital/santacristina/ciudadanos/atencion-espiritual-religiosa</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LOCALIZACIÓN Y ACCESO</v>
      </c>
      <c r="C483" s="85" t="str" cm="1">
        <f t="array" ref="C483">IFERROR(INDEX('03.Muestra'!$F$8:$F$42,SMALL(IF("Página Web"='03.Muestra'!$D$8:$D$42,ROW('03.Muestra'!$F$8:$F$42)-MIN(ROW('03.Muestra'!$D$8:$D$42))+1,""),ROW()-474)),"")</f>
        <v>https://www.comunidad.madrid/hospital/santacristina/ciudadanos/localizacion-acceso</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GUÍAS DE USUARIO</v>
      </c>
      <c r="C484" s="85" t="str" cm="1">
        <f t="array" ref="C484">IFERROR(INDEX('03.Muestra'!$F$8:$F$42,SMALL(IF("Página Web"='03.Muestra'!$D$8:$D$42,ROW('03.Muestra'!$F$8:$F$42)-MIN(ROW('03.Muestra'!$D$8:$D$42))+1,""),ROW()-474)),"")</f>
        <v>https://www.comunidad.madrid/hospital/santacristina/ciudadanos/guias-usuario</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SERVICIOS QUIRÚRGICOS</v>
      </c>
      <c r="C485" s="85" t="str" cm="1">
        <f t="array" ref="C485">IFERROR(INDEX('03.Muestra'!$F$8:$F$42,SMALL(IF("Página Web"='03.Muestra'!$D$8:$D$42,ROW('03.Muestra'!$F$8:$F$42)-MIN(ROW('03.Muestra'!$D$8:$D$42))+1,""),ROW()-474)),"")</f>
        <v>https://www.comunidad.madrid/hospital/santacristina/profesionales/servicios-quirurgicos-0</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INVESTIGACIÓN</v>
      </c>
      <c r="C486" s="85" t="str" cm="1">
        <f t="array" ref="C486">IFERROR(INDEX('03.Muestra'!$F$8:$F$42,SMALL(IF("Página Web"='03.Muestra'!$D$8:$D$42,ROW('03.Muestra'!$F$8:$F$42)-MIN(ROW('03.Muestra'!$D$8:$D$42))+1,""),ROW()-474)),"")</f>
        <v>https://www.comunidad.madrid/hospital/santacristina/profesionales/investigacion-0</v>
      </c>
      <c r="D486" s="99" t="s">
        <v>92</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NOTICIAS</v>
      </c>
      <c r="C487" s="85" t="str" cm="1">
        <f t="array" ref="C487">IFERROR(INDEX('03.Muestra'!$F$8:$F$42,SMALL(IF("Página Web"='03.Muestra'!$D$8:$D$42,ROW('03.Muestra'!$F$8:$F$42)-MIN(ROW('03.Muestra'!$D$8:$D$42))+1,""),ROW()-474)),"")</f>
        <v>https://www.comunidad.madrid/hospital/santacristina/comunicacion/noticias</v>
      </c>
      <c r="D487" s="99" t="s">
        <v>92</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ACTOS DEL CENTENARIO</v>
      </c>
      <c r="C488" s="85" t="str" cm="1">
        <f t="array" ref="C488">IFERROR(INDEX('03.Muestra'!$F$8:$F$42,SMALL(IF("Página Web"='03.Muestra'!$D$8:$D$42,ROW('03.Muestra'!$F$8:$F$42)-MIN(ROW('03.Muestra'!$D$8:$D$42))+1,""),ROW()-474)),"")</f>
        <v>https://www.comunidad.madrid/hospital/santacristina/nosotros/actos-centenario</v>
      </c>
      <c r="D488" s="99" t="s">
        <v>92</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ACCESIBILIDAD HOSPITAL</v>
      </c>
      <c r="C489" s="85" t="str" cm="1">
        <f t="array" ref="C489">IFERROR(INDEX('03.Muestra'!$F$8:$F$42,SMALL(IF("Página Web"='03.Muestra'!$D$8:$D$42,ROW('03.Muestra'!$F$8:$F$42)-MIN(ROW('03.Muestra'!$D$8:$D$42))+1,""),ROW()-474)),"")</f>
        <v>https://www.comunidad.madrid/hospital/santacristina/nosotros/accesibilidad-hospital</v>
      </c>
      <c r="D489" s="99" t="s">
        <v>92</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CARTERA DE SERVICIOS</v>
      </c>
      <c r="C490" s="85" t="str" cm="1">
        <f t="array" ref="C490">IFERROR(INDEX('03.Muestra'!$F$8:$F$42,SMALL(IF("Página Web"='03.Muestra'!$D$8:$D$42,ROW('03.Muestra'!$F$8:$F$42)-MIN(ROW('03.Muestra'!$D$8:$D$42))+1,""),ROW()-474)),"")</f>
        <v>https://www.comunidad.madrid/hospital/santacristina/nosotros/cartera-servicios</v>
      </c>
      <c r="D490" s="99" t="s">
        <v>92</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CONTACTO</v>
      </c>
      <c r="C491" s="85" t="str" cm="1">
        <f t="array" ref="C491">IFERROR(INDEX('03.Muestra'!$F$8:$F$42,SMALL(IF("Página Web"='03.Muestra'!$D$8:$D$42,ROW('03.Muestra'!$F$8:$F$42)-MIN(ROW('03.Muestra'!$D$8:$D$42))+1,""),ROW()-474)),"")</f>
        <v>https://www.comunidad.madrid/hospital/santacristina/comunicacion/contacto</v>
      </c>
      <c r="D491" s="99" t="s">
        <v>92</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ACCESIBILIDAD</v>
      </c>
      <c r="C492" s="85" t="str" cm="1">
        <f t="array" ref="C492">IFERROR(INDEX('03.Muestra'!$F$8:$F$42,SMALL(IF("Página Web"='03.Muestra'!$D$8:$D$42,ROW('03.Muestra'!$F$8:$F$42)-MIN(ROW('03.Muestra'!$D$8:$D$42))+1,""),ROW()-474)),"")</f>
        <v>https://www.comunidad.madrid/hospital/santacristina/declaracion-accesibilidad</v>
      </c>
      <c r="D492" s="99" t="s">
        <v>92</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LEGAL</v>
      </c>
      <c r="C493" s="85" t="str" cm="1">
        <f t="array" ref="C493">IFERROR(INDEX('03.Muestra'!$F$8:$F$42,SMALL(IF("Página Web"='03.Muestra'!$D$8:$D$42,ROW('03.Muestra'!$F$8:$F$42)-MIN(ROW('03.Muestra'!$D$8:$D$42))+1,""),ROW()-474)),"")</f>
        <v>https://www.comunidad.madrid/hospital/santacristina/ciudadanos/aviso-legal-privacidad</v>
      </c>
      <c r="D493" s="99" t="s">
        <v>92</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MAPA WEB</v>
      </c>
      <c r="C494" s="85" t="str" cm="1">
        <f t="array" ref="C494">IFERROR(INDEX('03.Muestra'!$F$8:$F$42,SMALL(IF("Página Web"='03.Muestra'!$D$8:$D$42,ROW('03.Muestra'!$F$8:$F$42)-MIN(ROW('03.Muestra'!$D$8:$D$42))+1,""),ROW()-474)),"")</f>
        <v>https://www.comunidad.madrid/hospital/santacristina/sitemap</v>
      </c>
      <c r="D494" s="99" t="s">
        <v>92</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https://www.comunidad.madrid/hospital/santacristina/</v>
      </c>
      <c r="D513" s="99" t="s">
        <v>94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https://www.comunidad.madrid/hospital/santacristina/ciudadanos</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20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https://www.comunidad.madrid/hospital/santacristina/profesionales</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https://www.comunidad.madrid/hospital/santacristina/comunicacion</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https://www.comunidad.madrid/hospital/santacristina/nosotros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https://www.comunidad.madrid/hospital/santacristina/buscar?search_api_fulltext=&amp;nombre=</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ATENCIÓN AL PACIENTE</v>
      </c>
      <c r="C519" s="85" t="str" cm="1">
        <f t="array" ref="C519">IFERROR(INDEX('03.Muestra'!$F$8:$F$42,SMALL(IF("Página Web"='03.Muestra'!$D$8:$D$42,ROW('03.Muestra'!$F$8:$F$42)-MIN(ROW('03.Muestra'!$D$8:$D$42))+1,""),ROW()-512)),"")</f>
        <v>https://www.comunidad.madrid/hospital/santacristina/ciudadanos/atencion-paciente</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ATENCIÓN ESPIRITUAL</v>
      </c>
      <c r="C520" s="85" t="str" cm="1">
        <f t="array" ref="C520">IFERROR(INDEX('03.Muestra'!$F$8:$F$42,SMALL(IF("Página Web"='03.Muestra'!$D$8:$D$42,ROW('03.Muestra'!$F$8:$F$42)-MIN(ROW('03.Muestra'!$D$8:$D$42))+1,""),ROW()-512)),"")</f>
        <v>https://www.comunidad.madrid/hospital/santacristina/ciudadanos/atencion-espiritual-religiosa</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LOCALIZACIÓN Y ACCESO</v>
      </c>
      <c r="C521" s="85" t="str" cm="1">
        <f t="array" ref="C521">IFERROR(INDEX('03.Muestra'!$F$8:$F$42,SMALL(IF("Página Web"='03.Muestra'!$D$8:$D$42,ROW('03.Muestra'!$F$8:$F$42)-MIN(ROW('03.Muestra'!$D$8:$D$42))+1,""),ROW()-512)),"")</f>
        <v>https://www.comunidad.madrid/hospital/santacristina/ciudadanos/localizacion-acceso</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GUÍAS DE USUARIO</v>
      </c>
      <c r="C522" s="85" t="str" cm="1">
        <f t="array" ref="C522">IFERROR(INDEX('03.Muestra'!$F$8:$F$42,SMALL(IF("Página Web"='03.Muestra'!$D$8:$D$42,ROW('03.Muestra'!$F$8:$F$42)-MIN(ROW('03.Muestra'!$D$8:$D$42))+1,""),ROW()-512)),"")</f>
        <v>https://www.comunidad.madrid/hospital/santacristina/ciudadanos/guias-usuario</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SERVICIOS QUIRÚRGICOS</v>
      </c>
      <c r="C523" s="85" t="str" cm="1">
        <f t="array" ref="C523">IFERROR(INDEX('03.Muestra'!$F$8:$F$42,SMALL(IF("Página Web"='03.Muestra'!$D$8:$D$42,ROW('03.Muestra'!$F$8:$F$42)-MIN(ROW('03.Muestra'!$D$8:$D$42))+1,""),ROW()-512)),"")</f>
        <v>https://www.comunidad.madrid/hospital/santacristina/profesionales/servicios-quirurgicos-0</v>
      </c>
      <c r="D523" s="99" t="s">
        <v>94</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INVESTIGACIÓN</v>
      </c>
      <c r="C524" s="85" t="str" cm="1">
        <f t="array" ref="C524">IFERROR(INDEX('03.Muestra'!$F$8:$F$42,SMALL(IF("Página Web"='03.Muestra'!$D$8:$D$42,ROW('03.Muestra'!$F$8:$F$42)-MIN(ROW('03.Muestra'!$D$8:$D$42))+1,""),ROW()-512)),"")</f>
        <v>https://www.comunidad.madrid/hospital/santacristina/profesionales/investigacion-0</v>
      </c>
      <c r="D524" s="99" t="s">
        <v>94</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NOTICIAS</v>
      </c>
      <c r="C525" s="85" t="str" cm="1">
        <f t="array" ref="C525">IFERROR(INDEX('03.Muestra'!$F$8:$F$42,SMALL(IF("Página Web"='03.Muestra'!$D$8:$D$42,ROW('03.Muestra'!$F$8:$F$42)-MIN(ROW('03.Muestra'!$D$8:$D$42))+1,""),ROW()-512)),"")</f>
        <v>https://www.comunidad.madrid/hospital/santacristina/comunicacion/noticias</v>
      </c>
      <c r="D525" s="99" t="s">
        <v>94</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ACTOS DEL CENTENARIO</v>
      </c>
      <c r="C526" s="85" t="str" cm="1">
        <f t="array" ref="C526">IFERROR(INDEX('03.Muestra'!$F$8:$F$42,SMALL(IF("Página Web"='03.Muestra'!$D$8:$D$42,ROW('03.Muestra'!$F$8:$F$42)-MIN(ROW('03.Muestra'!$D$8:$D$42))+1,""),ROW()-512)),"")</f>
        <v>https://www.comunidad.madrid/hospital/santacristina/nosotros/actos-centenario</v>
      </c>
      <c r="D526" s="99" t="s">
        <v>94</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ACCESIBILIDAD HOSPITAL</v>
      </c>
      <c r="C527" s="85" t="str" cm="1">
        <f t="array" ref="C527">IFERROR(INDEX('03.Muestra'!$F$8:$F$42,SMALL(IF("Página Web"='03.Muestra'!$D$8:$D$42,ROW('03.Muestra'!$F$8:$F$42)-MIN(ROW('03.Muestra'!$D$8:$D$42))+1,""),ROW()-512)),"")</f>
        <v>https://www.comunidad.madrid/hospital/santacristina/nosotros/accesibilidad-hospital</v>
      </c>
      <c r="D527" s="99" t="s">
        <v>94</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CARTERA DE SERVICIOS</v>
      </c>
      <c r="C528" s="85" t="str" cm="1">
        <f t="array" ref="C528">IFERROR(INDEX('03.Muestra'!$F$8:$F$42,SMALL(IF("Página Web"='03.Muestra'!$D$8:$D$42,ROW('03.Muestra'!$F$8:$F$42)-MIN(ROW('03.Muestra'!$D$8:$D$42))+1,""),ROW()-512)),"")</f>
        <v>https://www.comunidad.madrid/hospital/santacristina/nosotros/cartera-servicios</v>
      </c>
      <c r="D528" s="99" t="s">
        <v>94</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CONTACTO</v>
      </c>
      <c r="C529" s="85" t="str" cm="1">
        <f t="array" ref="C529">IFERROR(INDEX('03.Muestra'!$F$8:$F$42,SMALL(IF("Página Web"='03.Muestra'!$D$8:$D$42,ROW('03.Muestra'!$F$8:$F$42)-MIN(ROW('03.Muestra'!$D$8:$D$42))+1,""),ROW()-512)),"")</f>
        <v>https://www.comunidad.madrid/hospital/santacristina/comunicacion/contacto</v>
      </c>
      <c r="D529" s="99" t="s">
        <v>94</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ACCESIBILIDAD</v>
      </c>
      <c r="C530" s="85" t="str" cm="1">
        <f t="array" ref="C530">IFERROR(INDEX('03.Muestra'!$F$8:$F$42,SMALL(IF("Página Web"='03.Muestra'!$D$8:$D$42,ROW('03.Muestra'!$F$8:$F$42)-MIN(ROW('03.Muestra'!$D$8:$D$42))+1,""),ROW()-512)),"")</f>
        <v>https://www.comunidad.madrid/hospital/santacristina/declaracion-accesibilidad</v>
      </c>
      <c r="D530" s="99" t="s">
        <v>94</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LEGAL</v>
      </c>
      <c r="C531" s="85" t="str" cm="1">
        <f t="array" ref="C531">IFERROR(INDEX('03.Muestra'!$F$8:$F$42,SMALL(IF("Página Web"='03.Muestra'!$D$8:$D$42,ROW('03.Muestra'!$F$8:$F$42)-MIN(ROW('03.Muestra'!$D$8:$D$42))+1,""),ROW()-512)),"")</f>
        <v>https://www.comunidad.madrid/hospital/santacristina/ciudadanos/aviso-legal-privacidad</v>
      </c>
      <c r="D531" s="99" t="s">
        <v>94</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MAPA WEB</v>
      </c>
      <c r="C532" s="85" t="str" cm="1">
        <f t="array" ref="C532">IFERROR(INDEX('03.Muestra'!$F$8:$F$42,SMALL(IF("Página Web"='03.Muestra'!$D$8:$D$42,ROW('03.Muestra'!$F$8:$F$42)-MIN(ROW('03.Muestra'!$D$8:$D$42))+1,""),ROW()-512)),"")</f>
        <v>https://www.comunidad.madrid/hospital/santacristina/sitemap</v>
      </c>
      <c r="D532" s="99" t="s">
        <v>94</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https://www.comunidad.madrid/hospital/santacristina/</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https://www.comunidad.madrid/hospital/santacristina/ciudadanos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https://www.comunidad.madrid/hospital/santacristina/profesionales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https://www.comunidad.madrid/hospital/santacristina/comunicacion</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https://www.comunidad.madrid/hospital/santacristina/nosotros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https://www.comunidad.madrid/hospital/santacristina/buscar?search_api_fulltext=&amp;nombre=</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ATENCIÓN AL PACIENTE</v>
      </c>
      <c r="C557" s="85" t="str" cm="1">
        <f t="array" ref="C557">IFERROR(INDEX('03.Muestra'!$F$8:$F$42,SMALL(IF("Página Web"='03.Muestra'!$D$8:$D$42,ROW('03.Muestra'!$F$8:$F$42)-MIN(ROW('03.Muestra'!$D$8:$D$42))+1,""),ROW()-550)),"")</f>
        <v>https://www.comunidad.madrid/hospital/santacristina/ciudadanos/atencion-paciente</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ATENCIÓN ESPIRITUAL</v>
      </c>
      <c r="C558" s="85" t="str" cm="1">
        <f t="array" ref="C558">IFERROR(INDEX('03.Muestra'!$F$8:$F$42,SMALL(IF("Página Web"='03.Muestra'!$D$8:$D$42,ROW('03.Muestra'!$F$8:$F$42)-MIN(ROW('03.Muestra'!$D$8:$D$42))+1,""),ROW()-550)),"")</f>
        <v>https://www.comunidad.madrid/hospital/santacristina/ciudadanos/atencion-espiritual-religiosa</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LOCALIZACIÓN Y ACCESO</v>
      </c>
      <c r="C559" s="85" t="str" cm="1">
        <f t="array" ref="C559">IFERROR(INDEX('03.Muestra'!$F$8:$F$42,SMALL(IF("Página Web"='03.Muestra'!$D$8:$D$42,ROW('03.Muestra'!$F$8:$F$42)-MIN(ROW('03.Muestra'!$D$8:$D$42))+1,""),ROW()-550)),"")</f>
        <v>https://www.comunidad.madrid/hospital/santacristina/ciudadanos/localizacion-acceso</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GUÍAS DE USUARIO</v>
      </c>
      <c r="C560" s="85" t="str" cm="1">
        <f t="array" ref="C560">IFERROR(INDEX('03.Muestra'!$F$8:$F$42,SMALL(IF("Página Web"='03.Muestra'!$D$8:$D$42,ROW('03.Muestra'!$F$8:$F$42)-MIN(ROW('03.Muestra'!$D$8:$D$42))+1,""),ROW()-550)),"")</f>
        <v>https://www.comunidad.madrid/hospital/santacristina/ciudadanos/guias-usuario</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SERVICIOS QUIRÚRGICOS</v>
      </c>
      <c r="C561" s="85" t="str" cm="1">
        <f t="array" ref="C561">IFERROR(INDEX('03.Muestra'!$F$8:$F$42,SMALL(IF("Página Web"='03.Muestra'!$D$8:$D$42,ROW('03.Muestra'!$F$8:$F$42)-MIN(ROW('03.Muestra'!$D$8:$D$42))+1,""),ROW()-550)),"")</f>
        <v>https://www.comunidad.madrid/hospital/santacristina/profesionales/servicios-quirurgicos-0</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INVESTIGACIÓN</v>
      </c>
      <c r="C562" s="85" t="str" cm="1">
        <f t="array" ref="C562">IFERROR(INDEX('03.Muestra'!$F$8:$F$42,SMALL(IF("Página Web"='03.Muestra'!$D$8:$D$42,ROW('03.Muestra'!$F$8:$F$42)-MIN(ROW('03.Muestra'!$D$8:$D$42))+1,""),ROW()-550)),"")</f>
        <v>https://www.comunidad.madrid/hospital/santacristina/profesionales/investigacion-0</v>
      </c>
      <c r="D562" s="99" t="s">
        <v>104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NOTICIAS</v>
      </c>
      <c r="C563" s="85" t="str" cm="1">
        <f t="array" ref="C563">IFERROR(INDEX('03.Muestra'!$F$8:$F$42,SMALL(IF("Página Web"='03.Muestra'!$D$8:$D$42,ROW('03.Muestra'!$F$8:$F$42)-MIN(ROW('03.Muestra'!$D$8:$D$42))+1,""),ROW()-550)),"")</f>
        <v>https://www.comunidad.madrid/hospital/santacristina/comunicacion/noticias</v>
      </c>
      <c r="D563" s="99" t="s">
        <v>104</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ACTOS DEL CENTENARIO</v>
      </c>
      <c r="C564" s="85" t="str" cm="1">
        <f t="array" ref="C564">IFERROR(INDEX('03.Muestra'!$F$8:$F$42,SMALL(IF("Página Web"='03.Muestra'!$D$8:$D$42,ROW('03.Muestra'!$F$8:$F$42)-MIN(ROW('03.Muestra'!$D$8:$D$42))+1,""),ROW()-550)),"")</f>
        <v>https://www.comunidad.madrid/hospital/santacristina/nosotros/actos-centenario</v>
      </c>
      <c r="D564" s="99" t="s">
        <v>104</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ACCESIBILIDAD HOSPITAL</v>
      </c>
      <c r="C565" s="85" t="str" cm="1">
        <f t="array" ref="C565">IFERROR(INDEX('03.Muestra'!$F$8:$F$42,SMALL(IF("Página Web"='03.Muestra'!$D$8:$D$42,ROW('03.Muestra'!$F$8:$F$42)-MIN(ROW('03.Muestra'!$D$8:$D$42))+1,""),ROW()-550)),"")</f>
        <v>https://www.comunidad.madrid/hospital/santacristina/nosotros/accesibilidad-hospital</v>
      </c>
      <c r="D565" s="99" t="s">
        <v>104</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CARTERA DE SERVICIOS</v>
      </c>
      <c r="C566" s="85" t="str" cm="1">
        <f t="array" ref="C566">IFERROR(INDEX('03.Muestra'!$F$8:$F$42,SMALL(IF("Página Web"='03.Muestra'!$D$8:$D$42,ROW('03.Muestra'!$F$8:$F$42)-MIN(ROW('03.Muestra'!$D$8:$D$42))+1,""),ROW()-550)),"")</f>
        <v>https://www.comunidad.madrid/hospital/santacristina/nosotros/cartera-servicios</v>
      </c>
      <c r="D566" s="99" t="s">
        <v>104</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CONTACTO</v>
      </c>
      <c r="C567" s="85" t="str" cm="1">
        <f t="array" ref="C567">IFERROR(INDEX('03.Muestra'!$F$8:$F$42,SMALL(IF("Página Web"='03.Muestra'!$D$8:$D$42,ROW('03.Muestra'!$F$8:$F$42)-MIN(ROW('03.Muestra'!$D$8:$D$42))+1,""),ROW()-550)),"")</f>
        <v>https://www.comunidad.madrid/hospital/santacristina/comunicacion/contacto</v>
      </c>
      <c r="D567" s="99" t="s">
        <v>104</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ACCESIBILIDAD</v>
      </c>
      <c r="C568" s="85" t="str" cm="1">
        <f t="array" ref="C568">IFERROR(INDEX('03.Muestra'!$F$8:$F$42,SMALL(IF("Página Web"='03.Muestra'!$D$8:$D$42,ROW('03.Muestra'!$F$8:$F$42)-MIN(ROW('03.Muestra'!$D$8:$D$42))+1,""),ROW()-550)),"")</f>
        <v>https://www.comunidad.madrid/hospital/santacristina/declaracion-accesibilidad</v>
      </c>
      <c r="D568" s="99" t="s">
        <v>104</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LEGAL</v>
      </c>
      <c r="C569" s="85" t="str" cm="1">
        <f t="array" ref="C569">IFERROR(INDEX('03.Muestra'!$F$8:$F$42,SMALL(IF("Página Web"='03.Muestra'!$D$8:$D$42,ROW('03.Muestra'!$F$8:$F$42)-MIN(ROW('03.Muestra'!$D$8:$D$42))+1,""),ROW()-550)),"")</f>
        <v>https://www.comunidad.madrid/hospital/santacristina/ciudadanos/aviso-legal-privacidad</v>
      </c>
      <c r="D569" s="99" t="s">
        <v>104</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MAPA WEB</v>
      </c>
      <c r="C570" s="85" t="str" cm="1">
        <f t="array" ref="C570">IFERROR(INDEX('03.Muestra'!$F$8:$F$42,SMALL(IF("Página Web"='03.Muestra'!$D$8:$D$42,ROW('03.Muestra'!$F$8:$F$42)-MIN(ROW('03.Muestra'!$D$8:$D$42))+1,""),ROW()-550)),"")</f>
        <v>https://www.comunidad.madrid/hospital/santacristina/sitemap</v>
      </c>
      <c r="D570" s="99" t="s">
        <v>104</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https://www.comunidad.madrid/hospital/santacristina/</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https://www.comunidad.madrid/hospital/santacristina/ciudadanos</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https://www.comunidad.madrid/hospital/santacristina/profesionales</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https://www.comunidad.madrid/hospital/santacristina/comunicacion</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https://www.comunidad.madrid/hospital/santacristina/nosotros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https://www.comunidad.madrid/hospital/santacristina/buscar?search_api_fulltext=&amp;nombre=</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ATENCIÓN AL PACIENTE</v>
      </c>
      <c r="C595" s="85" t="str" cm="1">
        <f t="array" ref="C595">IFERROR(INDEX('03.Muestra'!$F$8:$F$42,SMALL(IF("Página Web"='03.Muestra'!$D$8:$D$42,ROW('03.Muestra'!$F$8:$F$42)-MIN(ROW('03.Muestra'!$D$8:$D$42))+1,""),ROW()-588)),"")</f>
        <v>https://www.comunidad.madrid/hospital/santacristina/ciudadanos/atencion-paciente</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ATENCIÓN ESPIRITUAL</v>
      </c>
      <c r="C596" s="85" t="str" cm="1">
        <f t="array" ref="C596">IFERROR(INDEX('03.Muestra'!$F$8:$F$42,SMALL(IF("Página Web"='03.Muestra'!$D$8:$D$42,ROW('03.Muestra'!$F$8:$F$42)-MIN(ROW('03.Muestra'!$D$8:$D$42))+1,""),ROW()-588)),"")</f>
        <v>https://www.comunidad.madrid/hospital/santacristina/ciudadanos/atencion-espiritual-religiosa</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LOCALIZACIÓN Y ACCESO</v>
      </c>
      <c r="C597" s="85" t="str" cm="1">
        <f t="array" ref="C597">IFERROR(INDEX('03.Muestra'!$F$8:$F$42,SMALL(IF("Página Web"='03.Muestra'!$D$8:$D$42,ROW('03.Muestra'!$F$8:$F$42)-MIN(ROW('03.Muestra'!$D$8:$D$42))+1,""),ROW()-588)),"")</f>
        <v>https://www.comunidad.madrid/hospital/santacristina/ciudadanos/localizacion-acceso</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GUÍAS DE USUARIO</v>
      </c>
      <c r="C598" s="85" t="str" cm="1">
        <f t="array" ref="C598">IFERROR(INDEX('03.Muestra'!$F$8:$F$42,SMALL(IF("Página Web"='03.Muestra'!$D$8:$D$42,ROW('03.Muestra'!$F$8:$F$42)-MIN(ROW('03.Muestra'!$D$8:$D$42))+1,""),ROW()-588)),"")</f>
        <v>https://www.comunidad.madrid/hospital/santacristina/ciudadanos/guias-usuario</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SERVICIOS QUIRÚRGICOS</v>
      </c>
      <c r="C599" s="85" t="str" cm="1">
        <f t="array" ref="C599">IFERROR(INDEX('03.Muestra'!$F$8:$F$42,SMALL(IF("Página Web"='03.Muestra'!$D$8:$D$42,ROW('03.Muestra'!$F$8:$F$42)-MIN(ROW('03.Muestra'!$D$8:$D$42))+1,""),ROW()-588)),"")</f>
        <v>https://www.comunidad.madrid/hospital/santacristina/profesionales/servicios-quirurgicos-0</v>
      </c>
      <c r="D599" s="99" t="s">
        <v>94</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INVESTIGACIÓN</v>
      </c>
      <c r="C600" s="85" t="str" cm="1">
        <f t="array" ref="C600">IFERROR(INDEX('03.Muestra'!$F$8:$F$42,SMALL(IF("Página Web"='03.Muestra'!$D$8:$D$42,ROW('03.Muestra'!$F$8:$F$42)-MIN(ROW('03.Muestra'!$D$8:$D$42))+1,""),ROW()-588)),"")</f>
        <v>https://www.comunidad.madrid/hospital/santacristina/profesionales/investigacion-0</v>
      </c>
      <c r="D600" s="99" t="s">
        <v>94</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NOTICIAS</v>
      </c>
      <c r="C601" s="85" t="str" cm="1">
        <f t="array" ref="C601">IFERROR(INDEX('03.Muestra'!$F$8:$F$42,SMALL(IF("Página Web"='03.Muestra'!$D$8:$D$42,ROW('03.Muestra'!$F$8:$F$42)-MIN(ROW('03.Muestra'!$D$8:$D$42))+1,""),ROW()-588)),"")</f>
        <v>https://www.comunidad.madrid/hospital/santacristina/comunicacion/noticias</v>
      </c>
      <c r="D601" s="99" t="s">
        <v>94</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ACTOS DEL CENTENARIO</v>
      </c>
      <c r="C602" s="85" t="str" cm="1">
        <f t="array" ref="C602">IFERROR(INDEX('03.Muestra'!$F$8:$F$42,SMALL(IF("Página Web"='03.Muestra'!$D$8:$D$42,ROW('03.Muestra'!$F$8:$F$42)-MIN(ROW('03.Muestra'!$D$8:$D$42))+1,""),ROW()-588)),"")</f>
        <v>https://www.comunidad.madrid/hospital/santacristina/nosotros/actos-centenario</v>
      </c>
      <c r="D602" s="99" t="s">
        <v>94</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ACCESIBILIDAD HOSPITAL</v>
      </c>
      <c r="C603" s="85" t="str" cm="1">
        <f t="array" ref="C603">IFERROR(INDEX('03.Muestra'!$F$8:$F$42,SMALL(IF("Página Web"='03.Muestra'!$D$8:$D$42,ROW('03.Muestra'!$F$8:$F$42)-MIN(ROW('03.Muestra'!$D$8:$D$42))+1,""),ROW()-588)),"")</f>
        <v>https://www.comunidad.madrid/hospital/santacristina/nosotros/accesibilidad-hospital</v>
      </c>
      <c r="D603" s="99" t="s">
        <v>94</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CARTERA DE SERVICIOS</v>
      </c>
      <c r="C604" s="85" t="str" cm="1">
        <f t="array" ref="C604">IFERROR(INDEX('03.Muestra'!$F$8:$F$42,SMALL(IF("Página Web"='03.Muestra'!$D$8:$D$42,ROW('03.Muestra'!$F$8:$F$42)-MIN(ROW('03.Muestra'!$D$8:$D$42))+1,""),ROW()-588)),"")</f>
        <v>https://www.comunidad.madrid/hospital/santacristina/nosotros/cartera-servicios</v>
      </c>
      <c r="D604" s="99" t="s">
        <v>94</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CONTACTO</v>
      </c>
      <c r="C605" s="85" t="str" cm="1">
        <f t="array" ref="C605">IFERROR(INDEX('03.Muestra'!$F$8:$F$42,SMALL(IF("Página Web"='03.Muestra'!$D$8:$D$42,ROW('03.Muestra'!$F$8:$F$42)-MIN(ROW('03.Muestra'!$D$8:$D$42))+1,""),ROW()-588)),"")</f>
        <v>https://www.comunidad.madrid/hospital/santacristina/comunicacion/contacto</v>
      </c>
      <c r="D605" s="99" t="s">
        <v>94</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ACCESIBILIDAD</v>
      </c>
      <c r="C606" s="85" t="str" cm="1">
        <f t="array" ref="C606">IFERROR(INDEX('03.Muestra'!$F$8:$F$42,SMALL(IF("Página Web"='03.Muestra'!$D$8:$D$42,ROW('03.Muestra'!$F$8:$F$42)-MIN(ROW('03.Muestra'!$D$8:$D$42))+1,""),ROW()-588)),"")</f>
        <v>https://www.comunidad.madrid/hospital/santacristina/declaracion-accesibilidad</v>
      </c>
      <c r="D606" s="99" t="s">
        <v>94</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LEGAL</v>
      </c>
      <c r="C607" s="85" t="str" cm="1">
        <f t="array" ref="C607">IFERROR(INDEX('03.Muestra'!$F$8:$F$42,SMALL(IF("Página Web"='03.Muestra'!$D$8:$D$42,ROW('03.Muestra'!$F$8:$F$42)-MIN(ROW('03.Muestra'!$D$8:$D$42))+1,""),ROW()-588)),"")</f>
        <v>https://www.comunidad.madrid/hospital/santacristina/ciudadanos/aviso-legal-privacidad</v>
      </c>
      <c r="D607" s="99" t="s">
        <v>94</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MAPA WEB</v>
      </c>
      <c r="C608" s="85" t="str" cm="1">
        <f t="array" ref="C608">IFERROR(INDEX('03.Muestra'!$F$8:$F$42,SMALL(IF("Página Web"='03.Muestra'!$D$8:$D$42,ROW('03.Muestra'!$F$8:$F$42)-MIN(ROW('03.Muestra'!$D$8:$D$42))+1,""),ROW()-588)),"")</f>
        <v>https://www.comunidad.madrid/hospital/santacristina/sitemap</v>
      </c>
      <c r="D608" s="99" t="s">
        <v>94</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https://www.comunidad.madrid/hospital/santacristina/</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https://www.comunidad.madrid/hospital/santacristina/ciudadanos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https://www.comunidad.madrid/hospital/santacristina/profesionales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https://www.comunidad.madrid/hospital/santacristina/comunicacion</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https://www.comunidad.madrid/hospital/santacristina/nosotros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https://www.comunidad.madrid/hospital/santacristina/buscar?search_api_fulltext=&amp;nombre=</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ATENCIÓN AL PACIENTE</v>
      </c>
      <c r="C633" s="85" t="str" cm="1">
        <f t="array" ref="C633">IFERROR(INDEX('03.Muestra'!$F$8:$F$42,SMALL(IF("Página Web"='03.Muestra'!$D$8:$D$42,ROW('03.Muestra'!$F$8:$F$42)-MIN(ROW('03.Muestra'!$D$8:$D$42))+1,""),ROW()-626)),"")</f>
        <v>https://www.comunidad.madrid/hospital/santacristina/ciudadanos/atencion-paciente</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ATENCIÓN ESPIRITUAL</v>
      </c>
      <c r="C634" s="85" t="str" cm="1">
        <f t="array" ref="C634">IFERROR(INDEX('03.Muestra'!$F$8:$F$42,SMALL(IF("Página Web"='03.Muestra'!$D$8:$D$42,ROW('03.Muestra'!$F$8:$F$42)-MIN(ROW('03.Muestra'!$D$8:$D$42))+1,""),ROW()-626)),"")</f>
        <v>https://www.comunidad.madrid/hospital/santacristina/ciudadanos/atencion-espiritual-religiosa</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LOCALIZACIÓN Y ACCESO</v>
      </c>
      <c r="C635" s="85" t="str" cm="1">
        <f t="array" ref="C635">IFERROR(INDEX('03.Muestra'!$F$8:$F$42,SMALL(IF("Página Web"='03.Muestra'!$D$8:$D$42,ROW('03.Muestra'!$F$8:$F$42)-MIN(ROW('03.Muestra'!$D$8:$D$42))+1,""),ROW()-626)),"")</f>
        <v>https://www.comunidad.madrid/hospital/santacristina/ciudadanos/localizacion-acceso</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GUÍAS DE USUARIO</v>
      </c>
      <c r="C636" s="85" t="str" cm="1">
        <f t="array" ref="C636">IFERROR(INDEX('03.Muestra'!$F$8:$F$42,SMALL(IF("Página Web"='03.Muestra'!$D$8:$D$42,ROW('03.Muestra'!$F$8:$F$42)-MIN(ROW('03.Muestra'!$D$8:$D$42))+1,""),ROW()-626)),"")</f>
        <v>https://www.comunidad.madrid/hospital/santacristina/ciudadanos/guias-usuario</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SERVICIOS QUIRÚRGICOS</v>
      </c>
      <c r="C637" s="85" t="str" cm="1">
        <f t="array" ref="C637">IFERROR(INDEX('03.Muestra'!$F$8:$F$42,SMALL(IF("Página Web"='03.Muestra'!$D$8:$D$42,ROW('03.Muestra'!$F$8:$F$42)-MIN(ROW('03.Muestra'!$D$8:$D$42))+1,""),ROW()-626)),"")</f>
        <v>https://www.comunidad.madrid/hospital/santacristina/profesionales/servicios-quirurgicos-0</v>
      </c>
      <c r="D637" s="99" t="s">
        <v>94</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INVESTIGACIÓN</v>
      </c>
      <c r="C638" s="85" t="str" cm="1">
        <f t="array" ref="C638">IFERROR(INDEX('03.Muestra'!$F$8:$F$42,SMALL(IF("Página Web"='03.Muestra'!$D$8:$D$42,ROW('03.Muestra'!$F$8:$F$42)-MIN(ROW('03.Muestra'!$D$8:$D$42))+1,""),ROW()-626)),"")</f>
        <v>https://www.comunidad.madrid/hospital/santacristina/profesionales/investigacion-0</v>
      </c>
      <c r="D638" s="99" t="s">
        <v>94</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NOTICIAS</v>
      </c>
      <c r="C639" s="85" t="str" cm="1">
        <f t="array" ref="C639">IFERROR(INDEX('03.Muestra'!$F$8:$F$42,SMALL(IF("Página Web"='03.Muestra'!$D$8:$D$42,ROW('03.Muestra'!$F$8:$F$42)-MIN(ROW('03.Muestra'!$D$8:$D$42))+1,""),ROW()-626)),"")</f>
        <v>https://www.comunidad.madrid/hospital/santacristina/comunicacion/noticias</v>
      </c>
      <c r="D639" s="99" t="s">
        <v>94</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ACTOS DEL CENTENARIO</v>
      </c>
      <c r="C640" s="85" t="str" cm="1">
        <f t="array" ref="C640">IFERROR(INDEX('03.Muestra'!$F$8:$F$42,SMALL(IF("Página Web"='03.Muestra'!$D$8:$D$42,ROW('03.Muestra'!$F$8:$F$42)-MIN(ROW('03.Muestra'!$D$8:$D$42))+1,""),ROW()-626)),"")</f>
        <v>https://www.comunidad.madrid/hospital/santacristina/nosotros/actos-centenario</v>
      </c>
      <c r="D640" s="99" t="s">
        <v>94</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ACCESIBILIDAD HOSPITAL</v>
      </c>
      <c r="C641" s="85" t="str" cm="1">
        <f t="array" ref="C641">IFERROR(INDEX('03.Muestra'!$F$8:$F$42,SMALL(IF("Página Web"='03.Muestra'!$D$8:$D$42,ROW('03.Muestra'!$F$8:$F$42)-MIN(ROW('03.Muestra'!$D$8:$D$42))+1,""),ROW()-626)),"")</f>
        <v>https://www.comunidad.madrid/hospital/santacristina/nosotros/accesibilidad-hospital</v>
      </c>
      <c r="D641" s="99" t="s">
        <v>94</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CARTERA DE SERVICIOS</v>
      </c>
      <c r="C642" s="85" t="str" cm="1">
        <f t="array" ref="C642">IFERROR(INDEX('03.Muestra'!$F$8:$F$42,SMALL(IF("Página Web"='03.Muestra'!$D$8:$D$42,ROW('03.Muestra'!$F$8:$F$42)-MIN(ROW('03.Muestra'!$D$8:$D$42))+1,""),ROW()-626)),"")</f>
        <v>https://www.comunidad.madrid/hospital/santacristina/nosotros/cartera-servicios</v>
      </c>
      <c r="D642" s="99" t="s">
        <v>94</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CONTACTO</v>
      </c>
      <c r="C643" s="85" t="str" cm="1">
        <f t="array" ref="C643">IFERROR(INDEX('03.Muestra'!$F$8:$F$42,SMALL(IF("Página Web"='03.Muestra'!$D$8:$D$42,ROW('03.Muestra'!$F$8:$F$42)-MIN(ROW('03.Muestra'!$D$8:$D$42))+1,""),ROW()-626)),"")</f>
        <v>https://www.comunidad.madrid/hospital/santacristina/comunicacion/contacto</v>
      </c>
      <c r="D643" s="99" t="s">
        <v>94</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ACCESIBILIDAD</v>
      </c>
      <c r="C644" s="85" t="str" cm="1">
        <f t="array" ref="C644">IFERROR(INDEX('03.Muestra'!$F$8:$F$42,SMALL(IF("Página Web"='03.Muestra'!$D$8:$D$42,ROW('03.Muestra'!$F$8:$F$42)-MIN(ROW('03.Muestra'!$D$8:$D$42))+1,""),ROW()-626)),"")</f>
        <v>https://www.comunidad.madrid/hospital/santacristina/declaracion-accesibilidad</v>
      </c>
      <c r="D644" s="99" t="s">
        <v>94</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LEGAL</v>
      </c>
      <c r="C645" s="85" t="str" cm="1">
        <f t="array" ref="C645">IFERROR(INDEX('03.Muestra'!$F$8:$F$42,SMALL(IF("Página Web"='03.Muestra'!$D$8:$D$42,ROW('03.Muestra'!$F$8:$F$42)-MIN(ROW('03.Muestra'!$D$8:$D$42))+1,""),ROW()-626)),"")</f>
        <v>https://www.comunidad.madrid/hospital/santacristina/ciudadanos/aviso-legal-privacidad</v>
      </c>
      <c r="D645" s="99" t="s">
        <v>94</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MAPA WEB</v>
      </c>
      <c r="C646" s="85" t="str" cm="1">
        <f t="array" ref="C646">IFERROR(INDEX('03.Muestra'!$F$8:$F$42,SMALL(IF("Página Web"='03.Muestra'!$D$8:$D$42,ROW('03.Muestra'!$F$8:$F$42)-MIN(ROW('03.Muestra'!$D$8:$D$42))+1,""),ROW()-626)),"")</f>
        <v>https://www.comunidad.madrid/hospital/santacristina/sitemap</v>
      </c>
      <c r="D646" s="99" t="s">
        <v>94</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https://www.comunidad.madrid/hospital/santacristina/</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https://www.comunidad.madrid/hospital/santacristina/ciudadanos</v>
      </c>
      <c r="D666" s="99" t="s">
        <v>94</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16</v>
      </c>
      <c r="J666" s="91">
        <f ca="1">COUNTIF($D665:INDIRECT("$D" &amp;  SUM(ROW()-1,'03.Muestra'!$D$45)-1),J665)</f>
        <v>4</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https://www.comunidad.madrid/hospital/santacristina/profesionales</v>
      </c>
      <c r="D667" s="99" t="s">
        <v>94</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https://www.comunidad.madrid/hospital/santacristina/comunicacion</v>
      </c>
      <c r="D668" s="99" t="s">
        <v>94</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https://www.comunidad.madrid/hospital/santacristina/nosotros</v>
      </c>
      <c r="D669" s="99" t="s">
        <v>94</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https://www.comunidad.madrid/hospital/santacristina/buscar?search_api_fulltext=&amp;nombre=</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ATENCIÓN AL PACIENTE</v>
      </c>
      <c r="C671" s="85" t="str" cm="1">
        <f t="array" ref="C671">IFERROR(INDEX('03.Muestra'!$F$8:$F$42,SMALL(IF("Página Web"='03.Muestra'!$D$8:$D$42,ROW('03.Muestra'!$F$8:$F$42)-MIN(ROW('03.Muestra'!$D$8:$D$42))+1,""),ROW()-664)),"")</f>
        <v>https://www.comunidad.madrid/hospital/santacristina/ciudadanos/atencion-paciente</v>
      </c>
      <c r="D671" s="99" t="s">
        <v>94</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ATENCIÓN ESPIRITUAL</v>
      </c>
      <c r="C672" s="85" t="str" cm="1">
        <f t="array" ref="C672">IFERROR(INDEX('03.Muestra'!$F$8:$F$42,SMALL(IF("Página Web"='03.Muestra'!$D$8:$D$42,ROW('03.Muestra'!$F$8:$F$42)-MIN(ROW('03.Muestra'!$D$8:$D$42))+1,""),ROW()-664)),"")</f>
        <v>https://www.comunidad.madrid/hospital/santacristina/ciudadanos/atencion-espiritual-religiosa</v>
      </c>
      <c r="D672" s="99" t="s">
        <v>94</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LOCALIZACIÓN Y ACCESO</v>
      </c>
      <c r="C673" s="85" t="str" cm="1">
        <f t="array" ref="C673">IFERROR(INDEX('03.Muestra'!$F$8:$F$42,SMALL(IF("Página Web"='03.Muestra'!$D$8:$D$42,ROW('03.Muestra'!$F$8:$F$42)-MIN(ROW('03.Muestra'!$D$8:$D$42))+1,""),ROW()-664)),"")</f>
        <v>https://www.comunidad.madrid/hospital/santacristina/ciudadanos/localizacion-acceso</v>
      </c>
      <c r="D673" s="99" t="s">
        <v>94</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GUÍAS DE USUARIO</v>
      </c>
      <c r="C674" s="85" t="str" cm="1">
        <f t="array" ref="C674">IFERROR(INDEX('03.Muestra'!$F$8:$F$42,SMALL(IF("Página Web"='03.Muestra'!$D$8:$D$42,ROW('03.Muestra'!$F$8:$F$42)-MIN(ROW('03.Muestra'!$D$8:$D$42))+1,""),ROW()-664)),"")</f>
        <v>https://www.comunidad.madrid/hospital/santacristina/ciudadanos/guias-usuario</v>
      </c>
      <c r="D674" s="99" t="s">
        <v>94</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SERVICIOS QUIRÚRGICOS</v>
      </c>
      <c r="C675" s="85" t="str" cm="1">
        <f t="array" ref="C675">IFERROR(INDEX('03.Muestra'!$F$8:$F$42,SMALL(IF("Página Web"='03.Muestra'!$D$8:$D$42,ROW('03.Muestra'!$F$8:$F$42)-MIN(ROW('03.Muestra'!$D$8:$D$42))+1,""),ROW()-664)),"")</f>
        <v>https://www.comunidad.madrid/hospital/santacristina/profesionales/servicios-quirurgicos-0</v>
      </c>
      <c r="D675" s="99" t="s">
        <v>94</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INVESTIGACIÓN</v>
      </c>
      <c r="C676" s="85" t="str" cm="1">
        <f t="array" ref="C676">IFERROR(INDEX('03.Muestra'!$F$8:$F$42,SMALL(IF("Página Web"='03.Muestra'!$D$8:$D$42,ROW('03.Muestra'!$F$8:$F$42)-MIN(ROW('03.Muestra'!$D$8:$D$42))+1,""),ROW()-664)),"")</f>
        <v>https://www.comunidad.madrid/hospital/santacristina/profesionales/investigacion-0</v>
      </c>
      <c r="D676" s="99" t="s">
        <v>94</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NOTICIAS</v>
      </c>
      <c r="C677" s="85" t="str" cm="1">
        <f t="array" ref="C677">IFERROR(INDEX('03.Muestra'!$F$8:$F$42,SMALL(IF("Página Web"='03.Muestra'!$D$8:$D$42,ROW('03.Muestra'!$F$8:$F$42)-MIN(ROW('03.Muestra'!$D$8:$D$42))+1,""),ROW()-664)),"")</f>
        <v>https://www.comunidad.madrid/hospital/santacristina/comunicacion/noticias</v>
      </c>
      <c r="D677" s="99" t="s">
        <v>94</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ACTOS DEL CENTENARIO</v>
      </c>
      <c r="C678" s="85" t="str" cm="1">
        <f t="array" ref="C678">IFERROR(INDEX('03.Muestra'!$F$8:$F$42,SMALL(IF("Página Web"='03.Muestra'!$D$8:$D$42,ROW('03.Muestra'!$F$8:$F$42)-MIN(ROW('03.Muestra'!$D$8:$D$42))+1,""),ROW()-664)),"")</f>
        <v>https://www.comunidad.madrid/hospital/santacristina/nosotros/actos-centenario</v>
      </c>
      <c r="D678" s="99" t="s">
        <v>94</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ACCESIBILIDAD HOSPITAL</v>
      </c>
      <c r="C679" s="85" t="str" cm="1">
        <f t="array" ref="C679">IFERROR(INDEX('03.Muestra'!$F$8:$F$42,SMALL(IF("Página Web"='03.Muestra'!$D$8:$D$42,ROW('03.Muestra'!$F$8:$F$42)-MIN(ROW('03.Muestra'!$D$8:$D$42))+1,""),ROW()-664)),"")</f>
        <v>https://www.comunidad.madrid/hospital/santacristina/nosotros/accesibilidad-hospital</v>
      </c>
      <c r="D679" s="99" t="s">
        <v>94</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CARTERA DE SERVICIOS</v>
      </c>
      <c r="C680" s="85" t="str" cm="1">
        <f t="array" ref="C680">IFERROR(INDEX('03.Muestra'!$F$8:$F$42,SMALL(IF("Página Web"='03.Muestra'!$D$8:$D$42,ROW('03.Muestra'!$F$8:$F$42)-MIN(ROW('03.Muestra'!$D$8:$D$42))+1,""),ROW()-664)),"")</f>
        <v>https://www.comunidad.madrid/hospital/santacristina/nosotros/cartera-servicios</v>
      </c>
      <c r="D680" s="99" t="s">
        <v>94</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CONTACTO</v>
      </c>
      <c r="C681" s="85" t="str" cm="1">
        <f t="array" ref="C681">IFERROR(INDEX('03.Muestra'!$F$8:$F$42,SMALL(IF("Página Web"='03.Muestra'!$D$8:$D$42,ROW('03.Muestra'!$F$8:$F$42)-MIN(ROW('03.Muestra'!$D$8:$D$42))+1,""),ROW()-664)),"")</f>
        <v>https://www.comunidad.madrid/hospital/santacristina/comunicacion/contacto</v>
      </c>
      <c r="D681" s="99" t="s">
        <v>94</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ACCESIBILIDAD</v>
      </c>
      <c r="C682" s="85" t="str" cm="1">
        <f t="array" ref="C682">IFERROR(INDEX('03.Muestra'!$F$8:$F$42,SMALL(IF("Página Web"='03.Muestra'!$D$8:$D$42,ROW('03.Muestra'!$F$8:$F$42)-MIN(ROW('03.Muestra'!$D$8:$D$42))+1,""),ROW()-664)),"")</f>
        <v>https://www.comunidad.madrid/hospital/santacristina/declaracion-accesibilidad</v>
      </c>
      <c r="D682" s="99" t="s">
        <v>92</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LEGAL</v>
      </c>
      <c r="C683" s="85" t="str" cm="1">
        <f t="array" ref="C683">IFERROR(INDEX('03.Muestra'!$F$8:$F$42,SMALL(IF("Página Web"='03.Muestra'!$D$8:$D$42,ROW('03.Muestra'!$F$8:$F$42)-MIN(ROW('03.Muestra'!$D$8:$D$42))+1,""),ROW()-664)),"")</f>
        <v>https://www.comunidad.madrid/hospital/santacristina/ciudadanos/aviso-legal-privacidad</v>
      </c>
      <c r="D683" s="99" t="s">
        <v>94</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MAPA WEB</v>
      </c>
      <c r="C684" s="85" t="str" cm="1">
        <f t="array" ref="C684">IFERROR(INDEX('03.Muestra'!$F$8:$F$42,SMALL(IF("Página Web"='03.Muestra'!$D$8:$D$42,ROW('03.Muestra'!$F$8:$F$42)-MIN(ROW('03.Muestra'!$D$8:$D$42))+1,""),ROW()-664)),"")</f>
        <v>https://www.comunidad.madrid/hospital/santacristina/sitemap</v>
      </c>
      <c r="D684" s="99" t="s">
        <v>92</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https://www.comunidad.madrid/hospital/santacristina/</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https://www.comunidad.madrid/hospital/santacristina/ciudadanos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https://www.comunidad.madrid/hospital/santacristina/profesionales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https://www.comunidad.madrid/hospital/santacristina/comunicacion</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https://www.comunidad.madrid/hospital/santacristina/nosotros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https://www.comunidad.madrid/hospital/santacristina/buscar?search_api_fulltext=&amp;nombre=</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ATENCIÓN AL PACIENTE</v>
      </c>
      <c r="C709" s="85" t="str" cm="1">
        <f t="array" ref="C709">IFERROR(INDEX('03.Muestra'!$F$8:$F$42,SMALL(IF("Página Web"='03.Muestra'!$D$8:$D$42,ROW('03.Muestra'!$F$8:$F$42)-MIN(ROW('03.Muestra'!$D$8:$D$42))+1,""),ROW()-702)),"")</f>
        <v>https://www.comunidad.madrid/hospital/santacristina/ciudadanos/atencion-paciente</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ATENCIÓN ESPIRITUAL</v>
      </c>
      <c r="C710" s="85" t="str" cm="1">
        <f t="array" ref="C710">IFERROR(INDEX('03.Muestra'!$F$8:$F$42,SMALL(IF("Página Web"='03.Muestra'!$D$8:$D$42,ROW('03.Muestra'!$F$8:$F$42)-MIN(ROW('03.Muestra'!$D$8:$D$42))+1,""),ROW()-702)),"")</f>
        <v>https://www.comunidad.madrid/hospital/santacristina/ciudadanos/atencion-espiritual-religiosa</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LOCALIZACIÓN Y ACCESO</v>
      </c>
      <c r="C711" s="85" t="str" cm="1">
        <f t="array" ref="C711">IFERROR(INDEX('03.Muestra'!$F$8:$F$42,SMALL(IF("Página Web"='03.Muestra'!$D$8:$D$42,ROW('03.Muestra'!$F$8:$F$42)-MIN(ROW('03.Muestra'!$D$8:$D$42))+1,""),ROW()-702)),"")</f>
        <v>https://www.comunidad.madrid/hospital/santacristina/ciudadanos/localizacion-acceso</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GUÍAS DE USUARIO</v>
      </c>
      <c r="C712" s="85" t="str" cm="1">
        <f t="array" ref="C712">IFERROR(INDEX('03.Muestra'!$F$8:$F$42,SMALL(IF("Página Web"='03.Muestra'!$D$8:$D$42,ROW('03.Muestra'!$F$8:$F$42)-MIN(ROW('03.Muestra'!$D$8:$D$42))+1,""),ROW()-702)),"")</f>
        <v>https://www.comunidad.madrid/hospital/santacristina/ciudadanos/guias-usuario</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SERVICIOS QUIRÚRGICOS</v>
      </c>
      <c r="C713" s="85" t="str" cm="1">
        <f t="array" ref="C713">IFERROR(INDEX('03.Muestra'!$F$8:$F$42,SMALL(IF("Página Web"='03.Muestra'!$D$8:$D$42,ROW('03.Muestra'!$F$8:$F$42)-MIN(ROW('03.Muestra'!$D$8:$D$42))+1,""),ROW()-702)),"")</f>
        <v>https://www.comunidad.madrid/hospital/santacristina/profesionales/servicios-quirurgicos-0</v>
      </c>
      <c r="D713" s="99" t="s">
        <v>104</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INVESTIGACIÓN</v>
      </c>
      <c r="C714" s="85" t="str" cm="1">
        <f t="array" ref="C714">IFERROR(INDEX('03.Muestra'!$F$8:$F$42,SMALL(IF("Página Web"='03.Muestra'!$D$8:$D$42,ROW('03.Muestra'!$F$8:$F$42)-MIN(ROW('03.Muestra'!$D$8:$D$42))+1,""),ROW()-702)),"")</f>
        <v>https://www.comunidad.madrid/hospital/santacristina/profesionales/investigacion-0</v>
      </c>
      <c r="D714" s="99" t="s">
        <v>104</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NOTICIAS</v>
      </c>
      <c r="C715" s="85" t="str" cm="1">
        <f t="array" ref="C715">IFERROR(INDEX('03.Muestra'!$F$8:$F$42,SMALL(IF("Página Web"='03.Muestra'!$D$8:$D$42,ROW('03.Muestra'!$F$8:$F$42)-MIN(ROW('03.Muestra'!$D$8:$D$42))+1,""),ROW()-702)),"")</f>
        <v>https://www.comunidad.madrid/hospital/santacristina/comunicacion/noticias</v>
      </c>
      <c r="D715" s="99" t="s">
        <v>104</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ACTOS DEL CENTENARIO</v>
      </c>
      <c r="C716" s="85" t="str" cm="1">
        <f t="array" ref="C716">IFERROR(INDEX('03.Muestra'!$F$8:$F$42,SMALL(IF("Página Web"='03.Muestra'!$D$8:$D$42,ROW('03.Muestra'!$F$8:$F$42)-MIN(ROW('03.Muestra'!$D$8:$D$42))+1,""),ROW()-702)),"")</f>
        <v>https://www.comunidad.madrid/hospital/santacristina/nosotros/actos-centenario</v>
      </c>
      <c r="D716" s="99" t="s">
        <v>104</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ACCESIBILIDAD HOSPITAL</v>
      </c>
      <c r="C717" s="85" t="str" cm="1">
        <f t="array" ref="C717">IFERROR(INDEX('03.Muestra'!$F$8:$F$42,SMALL(IF("Página Web"='03.Muestra'!$D$8:$D$42,ROW('03.Muestra'!$F$8:$F$42)-MIN(ROW('03.Muestra'!$D$8:$D$42))+1,""),ROW()-702)),"")</f>
        <v>https://www.comunidad.madrid/hospital/santacristina/nosotros/accesibilidad-hospital</v>
      </c>
      <c r="D717" s="99" t="s">
        <v>104</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CARTERA DE SERVICIOS</v>
      </c>
      <c r="C718" s="85" t="str" cm="1">
        <f t="array" ref="C718">IFERROR(INDEX('03.Muestra'!$F$8:$F$42,SMALL(IF("Página Web"='03.Muestra'!$D$8:$D$42,ROW('03.Muestra'!$F$8:$F$42)-MIN(ROW('03.Muestra'!$D$8:$D$42))+1,""),ROW()-702)),"")</f>
        <v>https://www.comunidad.madrid/hospital/santacristina/nosotros/cartera-servicios</v>
      </c>
      <c r="D718" s="99" t="s">
        <v>104</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CONTACTO</v>
      </c>
      <c r="C719" s="85" t="str" cm="1">
        <f t="array" ref="C719">IFERROR(INDEX('03.Muestra'!$F$8:$F$42,SMALL(IF("Página Web"='03.Muestra'!$D$8:$D$42,ROW('03.Muestra'!$F$8:$F$42)-MIN(ROW('03.Muestra'!$D$8:$D$42))+1,""),ROW()-702)),"")</f>
        <v>https://www.comunidad.madrid/hospital/santacristina/comunicacion/contacto</v>
      </c>
      <c r="D719" s="99" t="s">
        <v>104</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ACCESIBILIDAD</v>
      </c>
      <c r="C720" s="85" t="str" cm="1">
        <f t="array" ref="C720">IFERROR(INDEX('03.Muestra'!$F$8:$F$42,SMALL(IF("Página Web"='03.Muestra'!$D$8:$D$42,ROW('03.Muestra'!$F$8:$F$42)-MIN(ROW('03.Muestra'!$D$8:$D$42))+1,""),ROW()-702)),"")</f>
        <v>https://www.comunidad.madrid/hospital/santacristina/declaracion-accesibilidad</v>
      </c>
      <c r="D720" s="99" t="s">
        <v>104</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LEGAL</v>
      </c>
      <c r="C721" s="85" t="str" cm="1">
        <f t="array" ref="C721">IFERROR(INDEX('03.Muestra'!$F$8:$F$42,SMALL(IF("Página Web"='03.Muestra'!$D$8:$D$42,ROW('03.Muestra'!$F$8:$F$42)-MIN(ROW('03.Muestra'!$D$8:$D$42))+1,""),ROW()-702)),"")</f>
        <v>https://www.comunidad.madrid/hospital/santacristina/ciudadanos/aviso-legal-privacidad</v>
      </c>
      <c r="D721" s="99" t="s">
        <v>104</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MAPA WEB</v>
      </c>
      <c r="C722" s="85" t="str" cm="1">
        <f t="array" ref="C722">IFERROR(INDEX('03.Muestra'!$F$8:$F$42,SMALL(IF("Página Web"='03.Muestra'!$D$8:$D$42,ROW('03.Muestra'!$F$8:$F$42)-MIN(ROW('03.Muestra'!$D$8:$D$42))+1,""),ROW()-702)),"")</f>
        <v>https://www.comunidad.madrid/hospital/santacristina/sitemap</v>
      </c>
      <c r="D722" s="99" t="s">
        <v>104</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PRINCIPAL</v>
      </c>
      <c r="C741" s="85" t="str" cm="1">
        <f t="array" ref="C741">IFERROR(INDEX('03.Muestra'!$F$8:$F$42,SMALL(IF("Página Web"='03.Muestra'!$D$8:$D$42,ROW('03.Muestra'!$F$8:$F$42)-MIN(ROW('03.Muestra'!$D$8:$D$42))+1,""),ROW()-740)),"")</f>
        <v>https://www.comunidad.madrid/hospital/santacristina/</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https://www.comunidad.madrid/hospital/santacristina/ciudadanos</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20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https://www.comunidad.madrid/hospital/santacristina/profesionales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COMUNICACIÓN</v>
      </c>
      <c r="C744" s="85" t="str" cm="1">
        <f t="array" ref="C744">IFERROR(INDEX('03.Muestra'!$F$8:$F$42,SMALL(IF("Página Web"='03.Muestra'!$D$8:$D$42,ROW('03.Muestra'!$F$8:$F$42)-MIN(ROW('03.Muestra'!$D$8:$D$42))+1,""),ROW()-740)),"")</f>
        <v>https://www.comunidad.madrid/hospital/santacristina/comunicacion</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https://www.comunidad.madrid/hospital/santacristina/nosotros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BUSCADOR</v>
      </c>
      <c r="C746" s="85" t="str" cm="1">
        <f t="array" ref="C746">IFERROR(INDEX('03.Muestra'!$F$8:$F$42,SMALL(IF("Página Web"='03.Muestra'!$D$8:$D$42,ROW('03.Muestra'!$F$8:$F$42)-MIN(ROW('03.Muestra'!$D$8:$D$42))+1,""),ROW()-740)),"")</f>
        <v>https://www.comunidad.madrid/hospital/santacristina/buscar?search_api_fulltext=&amp;nombre=</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ATENCIÓN AL PACIENTE</v>
      </c>
      <c r="C747" s="85" t="str" cm="1">
        <f t="array" ref="C747">IFERROR(INDEX('03.Muestra'!$F$8:$F$42,SMALL(IF("Página Web"='03.Muestra'!$D$8:$D$42,ROW('03.Muestra'!$F$8:$F$42)-MIN(ROW('03.Muestra'!$D$8:$D$42))+1,""),ROW()-740)),"")</f>
        <v>https://www.comunidad.madrid/hospital/santacristina/ciudadanos/atencion-paciente</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ATENCIÓN ESPIRITUAL</v>
      </c>
      <c r="C748" s="85" t="str" cm="1">
        <f t="array" ref="C748">IFERROR(INDEX('03.Muestra'!$F$8:$F$42,SMALL(IF("Página Web"='03.Muestra'!$D$8:$D$42,ROW('03.Muestra'!$F$8:$F$42)-MIN(ROW('03.Muestra'!$D$8:$D$42))+1,""),ROW()-740)),"")</f>
        <v>https://www.comunidad.madrid/hospital/santacristina/ciudadanos/atencion-espiritual-religiosa</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LOCALIZACIÓN Y ACCESO</v>
      </c>
      <c r="C749" s="85" t="str" cm="1">
        <f t="array" ref="C749">IFERROR(INDEX('03.Muestra'!$F$8:$F$42,SMALL(IF("Página Web"='03.Muestra'!$D$8:$D$42,ROW('03.Muestra'!$F$8:$F$42)-MIN(ROW('03.Muestra'!$D$8:$D$42))+1,""),ROW()-740)),"")</f>
        <v>https://www.comunidad.madrid/hospital/santacristina/ciudadanos/localizacion-acceso</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GUÍAS DE USUARIO</v>
      </c>
      <c r="C750" s="85" t="str" cm="1">
        <f t="array" ref="C750">IFERROR(INDEX('03.Muestra'!$F$8:$F$42,SMALL(IF("Página Web"='03.Muestra'!$D$8:$D$42,ROW('03.Muestra'!$F$8:$F$42)-MIN(ROW('03.Muestra'!$D$8:$D$42))+1,""),ROW()-740)),"")</f>
        <v>https://www.comunidad.madrid/hospital/santacristina/ciudadanos/guias-usuario</v>
      </c>
      <c r="D750" s="99" t="s">
        <v>94</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SERVICIOS QUIRÚRGICOS</v>
      </c>
      <c r="C751" s="85" t="str" cm="1">
        <f t="array" ref="C751">IFERROR(INDEX('03.Muestra'!$F$8:$F$42,SMALL(IF("Página Web"='03.Muestra'!$D$8:$D$42,ROW('03.Muestra'!$F$8:$F$42)-MIN(ROW('03.Muestra'!$D$8:$D$42))+1,""),ROW()-740)),"")</f>
        <v>https://www.comunidad.madrid/hospital/santacristina/profesionales/servicios-quirurgicos-0</v>
      </c>
      <c r="D751" s="99" t="s">
        <v>94</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INVESTIGACIÓN</v>
      </c>
      <c r="C752" s="85" t="str" cm="1">
        <f t="array" ref="C752">IFERROR(INDEX('03.Muestra'!$F$8:$F$42,SMALL(IF("Página Web"='03.Muestra'!$D$8:$D$42,ROW('03.Muestra'!$F$8:$F$42)-MIN(ROW('03.Muestra'!$D$8:$D$42))+1,""),ROW()-740)),"")</f>
        <v>https://www.comunidad.madrid/hospital/santacristina/profesionales/investigacion-0</v>
      </c>
      <c r="D752" s="99" t="s">
        <v>94</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NOTICIAS</v>
      </c>
      <c r="C753" s="85" t="str" cm="1">
        <f t="array" ref="C753">IFERROR(INDEX('03.Muestra'!$F$8:$F$42,SMALL(IF("Página Web"='03.Muestra'!$D$8:$D$42,ROW('03.Muestra'!$F$8:$F$42)-MIN(ROW('03.Muestra'!$D$8:$D$42))+1,""),ROW()-740)),"")</f>
        <v>https://www.comunidad.madrid/hospital/santacristina/comunicacion/noticias</v>
      </c>
      <c r="D753" s="99" t="s">
        <v>94</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ACTOS DEL CENTENARIO</v>
      </c>
      <c r="C754" s="85" t="str" cm="1">
        <f t="array" ref="C754">IFERROR(INDEX('03.Muestra'!$F$8:$F$42,SMALL(IF("Página Web"='03.Muestra'!$D$8:$D$42,ROW('03.Muestra'!$F$8:$F$42)-MIN(ROW('03.Muestra'!$D$8:$D$42))+1,""),ROW()-740)),"")</f>
        <v>https://www.comunidad.madrid/hospital/santacristina/nosotros/actos-centenario</v>
      </c>
      <c r="D754" s="99" t="s">
        <v>94</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ACCESIBILIDAD HOSPITAL</v>
      </c>
      <c r="C755" s="85" t="str" cm="1">
        <f t="array" ref="C755">IFERROR(INDEX('03.Muestra'!$F$8:$F$42,SMALL(IF("Página Web"='03.Muestra'!$D$8:$D$42,ROW('03.Muestra'!$F$8:$F$42)-MIN(ROW('03.Muestra'!$D$8:$D$42))+1,""),ROW()-740)),"")</f>
        <v>https://www.comunidad.madrid/hospital/santacristina/nosotros/accesibilidad-hospital</v>
      </c>
      <c r="D755" s="99" t="s">
        <v>94</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CARTERA DE SERVICIOS</v>
      </c>
      <c r="C756" s="85" t="str" cm="1">
        <f t="array" ref="C756">IFERROR(INDEX('03.Muestra'!$F$8:$F$42,SMALL(IF("Página Web"='03.Muestra'!$D$8:$D$42,ROW('03.Muestra'!$F$8:$F$42)-MIN(ROW('03.Muestra'!$D$8:$D$42))+1,""),ROW()-740)),"")</f>
        <v>https://www.comunidad.madrid/hospital/santacristina/nosotros/cartera-servicios</v>
      </c>
      <c r="D756" s="99" t="s">
        <v>94</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CONTACTO</v>
      </c>
      <c r="C757" s="85" t="str" cm="1">
        <f t="array" ref="C757">IFERROR(INDEX('03.Muestra'!$F$8:$F$42,SMALL(IF("Página Web"='03.Muestra'!$D$8:$D$42,ROW('03.Muestra'!$F$8:$F$42)-MIN(ROW('03.Muestra'!$D$8:$D$42))+1,""),ROW()-740)),"")</f>
        <v>https://www.comunidad.madrid/hospital/santacristina/comunicacion/contacto</v>
      </c>
      <c r="D757" s="99" t="s">
        <v>94</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ACCESIBILIDAD</v>
      </c>
      <c r="C758" s="85" t="str" cm="1">
        <f t="array" ref="C758">IFERROR(INDEX('03.Muestra'!$F$8:$F$42,SMALL(IF("Página Web"='03.Muestra'!$D$8:$D$42,ROW('03.Muestra'!$F$8:$F$42)-MIN(ROW('03.Muestra'!$D$8:$D$42))+1,""),ROW()-740)),"")</f>
        <v>https://www.comunidad.madrid/hospital/santacristina/declaracion-accesibilidad</v>
      </c>
      <c r="D758" s="99" t="s">
        <v>94</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LEGAL</v>
      </c>
      <c r="C759" s="85" t="str" cm="1">
        <f t="array" ref="C759">IFERROR(INDEX('03.Muestra'!$F$8:$F$42,SMALL(IF("Página Web"='03.Muestra'!$D$8:$D$42,ROW('03.Muestra'!$F$8:$F$42)-MIN(ROW('03.Muestra'!$D$8:$D$42))+1,""),ROW()-740)),"")</f>
        <v>https://www.comunidad.madrid/hospital/santacristina/ciudadanos/aviso-legal-privacidad</v>
      </c>
      <c r="D759" s="99" t="s">
        <v>94</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MAPA WEB</v>
      </c>
      <c r="C760" s="85" t="str" cm="1">
        <f t="array" ref="C760">IFERROR(INDEX('03.Muestra'!$F$8:$F$42,SMALL(IF("Página Web"='03.Muestra'!$D$8:$D$42,ROW('03.Muestra'!$F$8:$F$42)-MIN(ROW('03.Muestra'!$D$8:$D$42))+1,""),ROW()-740)),"")</f>
        <v>https://www.comunidad.madrid/hospital/santacristina/sitemap</v>
      </c>
      <c r="D760" s="99" t="s">
        <v>94</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PRINCIPAL</v>
      </c>
      <c r="C779" s="85" t="str" cm="1">
        <f t="array" ref="C779">IFERROR(INDEX('03.Muestra'!$F$8:$F$42,SMALL(IF("Página Web"='03.Muestra'!$D$8:$D$42,ROW('03.Muestra'!$F$8:$F$42)-MIN(ROW('03.Muestra'!$D$8:$D$42))+1,""),ROW()-778)),"")</f>
        <v>https://www.comunidad.madrid/hospital/santacristina/</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https://www.comunidad.madrid/hospital/santacristina/ciudadanos</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https://www.comunidad.madrid/hospital/santacristina/profesionales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COMUNICACIÓN</v>
      </c>
      <c r="C782" s="85" t="str" cm="1">
        <f t="array" ref="C782">IFERROR(INDEX('03.Muestra'!$F$8:$F$42,SMALL(IF("Página Web"='03.Muestra'!$D$8:$D$42,ROW('03.Muestra'!$F$8:$F$42)-MIN(ROW('03.Muestra'!$D$8:$D$42))+1,""),ROW()-778)),"")</f>
        <v>https://www.comunidad.madrid/hospital/santacristina/comunicacion</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https://www.comunidad.madrid/hospital/santacristina/nosotros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BUSCADOR</v>
      </c>
      <c r="C784" s="85" t="str" cm="1">
        <f t="array" ref="C784">IFERROR(INDEX('03.Muestra'!$F$8:$F$42,SMALL(IF("Página Web"='03.Muestra'!$D$8:$D$42,ROW('03.Muestra'!$F$8:$F$42)-MIN(ROW('03.Muestra'!$D$8:$D$42))+1,""),ROW()-778)),"")</f>
        <v>https://www.comunidad.madrid/hospital/santacristina/buscar?search_api_fulltext=&amp;nombre=</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ATENCIÓN AL PACIENTE</v>
      </c>
      <c r="C785" s="85" t="str" cm="1">
        <f t="array" ref="C785">IFERROR(INDEX('03.Muestra'!$F$8:$F$42,SMALL(IF("Página Web"='03.Muestra'!$D$8:$D$42,ROW('03.Muestra'!$F$8:$F$42)-MIN(ROW('03.Muestra'!$D$8:$D$42))+1,""),ROW()-778)),"")</f>
        <v>https://www.comunidad.madrid/hospital/santacristina/ciudadanos/atencion-paciente</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ATENCIÓN ESPIRITUAL</v>
      </c>
      <c r="C786" s="85" t="str" cm="1">
        <f t="array" ref="C786">IFERROR(INDEX('03.Muestra'!$F$8:$F$42,SMALL(IF("Página Web"='03.Muestra'!$D$8:$D$42,ROW('03.Muestra'!$F$8:$F$42)-MIN(ROW('03.Muestra'!$D$8:$D$42))+1,""),ROW()-778)),"")</f>
        <v>https://www.comunidad.madrid/hospital/santacristina/ciudadanos/atencion-espiritual-religiosa</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LOCALIZACIÓN Y ACCESO</v>
      </c>
      <c r="C787" s="85" t="str" cm="1">
        <f t="array" ref="C787">IFERROR(INDEX('03.Muestra'!$F$8:$F$42,SMALL(IF("Página Web"='03.Muestra'!$D$8:$D$42,ROW('03.Muestra'!$F$8:$F$42)-MIN(ROW('03.Muestra'!$D$8:$D$42))+1,""),ROW()-778)),"")</f>
        <v>https://www.comunidad.madrid/hospital/santacristina/ciudadanos/localizacion-acceso</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GUÍAS DE USUARIO</v>
      </c>
      <c r="C788" s="85" t="str" cm="1">
        <f t="array" ref="C788">IFERROR(INDEX('03.Muestra'!$F$8:$F$42,SMALL(IF("Página Web"='03.Muestra'!$D$8:$D$42,ROW('03.Muestra'!$F$8:$F$42)-MIN(ROW('03.Muestra'!$D$8:$D$42))+1,""),ROW()-778)),"")</f>
        <v>https://www.comunidad.madrid/hospital/santacristina/ciudadanos/guias-usuario</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SERVICIOS QUIRÚRGICOS</v>
      </c>
      <c r="C789" s="85" t="str" cm="1">
        <f t="array" ref="C789">IFERROR(INDEX('03.Muestra'!$F$8:$F$42,SMALL(IF("Página Web"='03.Muestra'!$D$8:$D$42,ROW('03.Muestra'!$F$8:$F$42)-MIN(ROW('03.Muestra'!$D$8:$D$42))+1,""),ROW()-778)),"")</f>
        <v>https://www.comunidad.madrid/hospital/santacristina/profesionales/servicios-quirurgicos-0</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INVESTIGACIÓN</v>
      </c>
      <c r="C790" s="85" t="str" cm="1">
        <f t="array" ref="C790">IFERROR(INDEX('03.Muestra'!$F$8:$F$42,SMALL(IF("Página Web"='03.Muestra'!$D$8:$D$42,ROW('03.Muestra'!$F$8:$F$42)-MIN(ROW('03.Muestra'!$D$8:$D$42))+1,""),ROW()-778)),"")</f>
        <v>https://www.comunidad.madrid/hospital/santacristina/profesionales/investigacion-0</v>
      </c>
      <c r="D790" s="99" t="s">
        <v>92</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NOTICIAS</v>
      </c>
      <c r="C791" s="85" t="str" cm="1">
        <f t="array" ref="C791">IFERROR(INDEX('03.Muestra'!$F$8:$F$42,SMALL(IF("Página Web"='03.Muestra'!$D$8:$D$42,ROW('03.Muestra'!$F$8:$F$42)-MIN(ROW('03.Muestra'!$D$8:$D$42))+1,""),ROW()-778)),"")</f>
        <v>https://www.comunidad.madrid/hospital/santacristina/comunicacion/noticias</v>
      </c>
      <c r="D791" s="99" t="s">
        <v>92</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ACTOS DEL CENTENARIO</v>
      </c>
      <c r="C792" s="85" t="str" cm="1">
        <f t="array" ref="C792">IFERROR(INDEX('03.Muestra'!$F$8:$F$42,SMALL(IF("Página Web"='03.Muestra'!$D$8:$D$42,ROW('03.Muestra'!$F$8:$F$42)-MIN(ROW('03.Muestra'!$D$8:$D$42))+1,""),ROW()-778)),"")</f>
        <v>https://www.comunidad.madrid/hospital/santacristina/nosotros/actos-centenario</v>
      </c>
      <c r="D792" s="99" t="s">
        <v>92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ACCESIBILIDAD HOSPITAL</v>
      </c>
      <c r="C793" s="85" t="str" cm="1">
        <f t="array" ref="C793">IFERROR(INDEX('03.Muestra'!$F$8:$F$42,SMALL(IF("Página Web"='03.Muestra'!$D$8:$D$42,ROW('03.Muestra'!$F$8:$F$42)-MIN(ROW('03.Muestra'!$D$8:$D$42))+1,""),ROW()-778)),"")</f>
        <v>https://www.comunidad.madrid/hospital/santacristina/nosotros/accesibilidad-hospital</v>
      </c>
      <c r="D793" s="99" t="s">
        <v>92</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CARTERA DE SERVICIOS</v>
      </c>
      <c r="C794" s="85" t="str" cm="1">
        <f t="array" ref="C794">IFERROR(INDEX('03.Muestra'!$F$8:$F$42,SMALL(IF("Página Web"='03.Muestra'!$D$8:$D$42,ROW('03.Muestra'!$F$8:$F$42)-MIN(ROW('03.Muestra'!$D$8:$D$42))+1,""),ROW()-778)),"")</f>
        <v>https://www.comunidad.madrid/hospital/santacristina/nosotros/cartera-servicios</v>
      </c>
      <c r="D794" s="99" t="s">
        <v>92</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CONTACTO</v>
      </c>
      <c r="C795" s="85" t="str" cm="1">
        <f t="array" ref="C795">IFERROR(INDEX('03.Muestra'!$F$8:$F$42,SMALL(IF("Página Web"='03.Muestra'!$D$8:$D$42,ROW('03.Muestra'!$F$8:$F$42)-MIN(ROW('03.Muestra'!$D$8:$D$42))+1,""),ROW()-778)),"")</f>
        <v>https://www.comunidad.madrid/hospital/santacristina/comunicacion/contacto</v>
      </c>
      <c r="D795" s="99" t="s">
        <v>92</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ACCESIBILIDAD</v>
      </c>
      <c r="C796" s="85" t="str" cm="1">
        <f t="array" ref="C796">IFERROR(INDEX('03.Muestra'!$F$8:$F$42,SMALL(IF("Página Web"='03.Muestra'!$D$8:$D$42,ROW('03.Muestra'!$F$8:$F$42)-MIN(ROW('03.Muestra'!$D$8:$D$42))+1,""),ROW()-778)),"")</f>
        <v>https://www.comunidad.madrid/hospital/santacristina/declaracion-accesibilidad</v>
      </c>
      <c r="D796" s="99" t="s">
        <v>92</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LEGAL</v>
      </c>
      <c r="C797" s="85" t="str" cm="1">
        <f t="array" ref="C797">IFERROR(INDEX('03.Muestra'!$F$8:$F$42,SMALL(IF("Página Web"='03.Muestra'!$D$8:$D$42,ROW('03.Muestra'!$F$8:$F$42)-MIN(ROW('03.Muestra'!$D$8:$D$42))+1,""),ROW()-778)),"")</f>
        <v>https://www.comunidad.madrid/hospital/santacristina/ciudadanos/aviso-legal-privacidad</v>
      </c>
      <c r="D797" s="99" t="s">
        <v>92</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MAPA WEB</v>
      </c>
      <c r="C798" s="85" t="str" cm="1">
        <f t="array" ref="C798">IFERROR(INDEX('03.Muestra'!$F$8:$F$42,SMALL(IF("Página Web"='03.Muestra'!$D$8:$D$42,ROW('03.Muestra'!$F$8:$F$42)-MIN(ROW('03.Muestra'!$D$8:$D$42))+1,""),ROW()-778)),"")</f>
        <v>https://www.comunidad.madrid/hospital/santacristina/sitemap</v>
      </c>
      <c r="D798" s="99" t="s">
        <v>92</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PRINCIPAL</v>
      </c>
      <c r="C817" s="85" t="str" cm="1">
        <f t="array" ref="C817">IFERROR(INDEX('03.Muestra'!$F$8:$F$42,SMALL(IF("Página Web"='03.Muestra'!$D$8:$D$42,ROW('03.Muestra'!$F$8:$F$42)-MIN(ROW('03.Muestra'!$D$8:$D$42))+1,""),ROW()-816)),"")</f>
        <v>https://www.comunidad.madrid/hospital/santacristina/</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https://www.comunidad.madrid/hospital/santacristina/ciudadanos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https://www.comunidad.madrid/hospital/santacristina/profesionales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COMUNICACIÓN</v>
      </c>
      <c r="C820" s="85" t="str" cm="1">
        <f t="array" ref="C820">IFERROR(INDEX('03.Muestra'!$F$8:$F$42,SMALL(IF("Página Web"='03.Muestra'!$D$8:$D$42,ROW('03.Muestra'!$F$8:$F$42)-MIN(ROW('03.Muestra'!$D$8:$D$42))+1,""),ROW()-816)),"")</f>
        <v>https://www.comunidad.madrid/hospital/santacristina/comunicacion</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https://www.comunidad.madrid/hospital/santacristina/nosotros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BUSCADOR</v>
      </c>
      <c r="C822" s="85" t="str" cm="1">
        <f t="array" ref="C822">IFERROR(INDEX('03.Muestra'!$F$8:$F$42,SMALL(IF("Página Web"='03.Muestra'!$D$8:$D$42,ROW('03.Muestra'!$F$8:$F$42)-MIN(ROW('03.Muestra'!$D$8:$D$42))+1,""),ROW()-816)),"")</f>
        <v>https://www.comunidad.madrid/hospital/santacristina/buscar?search_api_fulltext=&amp;nombre=</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ATENCIÓN AL PACIENTE</v>
      </c>
      <c r="C823" s="85" t="str" cm="1">
        <f t="array" ref="C823">IFERROR(INDEX('03.Muestra'!$F$8:$F$42,SMALL(IF("Página Web"='03.Muestra'!$D$8:$D$42,ROW('03.Muestra'!$F$8:$F$42)-MIN(ROW('03.Muestra'!$D$8:$D$42))+1,""),ROW()-816)),"")</f>
        <v>https://www.comunidad.madrid/hospital/santacristina/ciudadanos/atencion-paciente</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ATENCIÓN ESPIRITUAL</v>
      </c>
      <c r="C824" s="85" t="str" cm="1">
        <f t="array" ref="C824">IFERROR(INDEX('03.Muestra'!$F$8:$F$42,SMALL(IF("Página Web"='03.Muestra'!$D$8:$D$42,ROW('03.Muestra'!$F$8:$F$42)-MIN(ROW('03.Muestra'!$D$8:$D$42))+1,""),ROW()-816)),"")</f>
        <v>https://www.comunidad.madrid/hospital/santacristina/ciudadanos/atencion-espiritual-religiosa</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LOCALIZACIÓN Y ACCESO</v>
      </c>
      <c r="C825" s="85" t="str" cm="1">
        <f t="array" ref="C825">IFERROR(INDEX('03.Muestra'!$F$8:$F$42,SMALL(IF("Página Web"='03.Muestra'!$D$8:$D$42,ROW('03.Muestra'!$F$8:$F$42)-MIN(ROW('03.Muestra'!$D$8:$D$42))+1,""),ROW()-816)),"")</f>
        <v>https://www.comunidad.madrid/hospital/santacristina/ciudadanos/localizacion-acceso</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GUÍAS DE USUARIO</v>
      </c>
      <c r="C826" s="85" t="str" cm="1">
        <f t="array" ref="C826">IFERROR(INDEX('03.Muestra'!$F$8:$F$42,SMALL(IF("Página Web"='03.Muestra'!$D$8:$D$42,ROW('03.Muestra'!$F$8:$F$42)-MIN(ROW('03.Muestra'!$D$8:$D$42))+1,""),ROW()-816)),"")</f>
        <v>https://www.comunidad.madrid/hospital/santacristina/ciudadanos/guias-usuario</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SERVICIOS QUIRÚRGICOS</v>
      </c>
      <c r="C827" s="85" t="str" cm="1">
        <f t="array" ref="C827">IFERROR(INDEX('03.Muestra'!$F$8:$F$42,SMALL(IF("Página Web"='03.Muestra'!$D$8:$D$42,ROW('03.Muestra'!$F$8:$F$42)-MIN(ROW('03.Muestra'!$D$8:$D$42))+1,""),ROW()-816)),"")</f>
        <v>https://www.comunidad.madrid/hospital/santacristina/profesionales/servicios-quirurgicos-0</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INVESTIGACIÓN</v>
      </c>
      <c r="C828" s="85" t="str" cm="1">
        <f t="array" ref="C828">IFERROR(INDEX('03.Muestra'!$F$8:$F$42,SMALL(IF("Página Web"='03.Muestra'!$D$8:$D$42,ROW('03.Muestra'!$F$8:$F$42)-MIN(ROW('03.Muestra'!$D$8:$D$42))+1,""),ROW()-816)),"")</f>
        <v>https://www.comunidad.madrid/hospital/santacristina/profesionales/investigacion-0</v>
      </c>
      <c r="D828" s="99" t="s">
        <v>104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NOTICIAS</v>
      </c>
      <c r="C829" s="85" t="str" cm="1">
        <f t="array" ref="C829">IFERROR(INDEX('03.Muestra'!$F$8:$F$42,SMALL(IF("Página Web"='03.Muestra'!$D$8:$D$42,ROW('03.Muestra'!$F$8:$F$42)-MIN(ROW('03.Muestra'!$D$8:$D$42))+1,""),ROW()-816)),"")</f>
        <v>https://www.comunidad.madrid/hospital/santacristina/comunicacion/noticias</v>
      </c>
      <c r="D829" s="99" t="s">
        <v>104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ACTOS DEL CENTENARIO</v>
      </c>
      <c r="C830" s="85" t="str" cm="1">
        <f t="array" ref="C830">IFERROR(INDEX('03.Muestra'!$F$8:$F$42,SMALL(IF("Página Web"='03.Muestra'!$D$8:$D$42,ROW('03.Muestra'!$F$8:$F$42)-MIN(ROW('03.Muestra'!$D$8:$D$42))+1,""),ROW()-816)),"")</f>
        <v>https://www.comunidad.madrid/hospital/santacristina/nosotros/actos-centenario</v>
      </c>
      <c r="D830" s="99" t="s">
        <v>104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ACCESIBILIDAD HOSPITAL</v>
      </c>
      <c r="C831" s="85" t="str" cm="1">
        <f t="array" ref="C831">IFERROR(INDEX('03.Muestra'!$F$8:$F$42,SMALL(IF("Página Web"='03.Muestra'!$D$8:$D$42,ROW('03.Muestra'!$F$8:$F$42)-MIN(ROW('03.Muestra'!$D$8:$D$42))+1,""),ROW()-816)),"")</f>
        <v>https://www.comunidad.madrid/hospital/santacristina/nosotros/accesibilidad-hospital</v>
      </c>
      <c r="D831" s="99" t="s">
        <v>104</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CARTERA DE SERVICIOS</v>
      </c>
      <c r="C832" s="85" t="str" cm="1">
        <f t="array" ref="C832">IFERROR(INDEX('03.Muestra'!$F$8:$F$42,SMALL(IF("Página Web"='03.Muestra'!$D$8:$D$42,ROW('03.Muestra'!$F$8:$F$42)-MIN(ROW('03.Muestra'!$D$8:$D$42))+1,""),ROW()-816)),"")</f>
        <v>https://www.comunidad.madrid/hospital/santacristina/nosotros/cartera-servicios</v>
      </c>
      <c r="D832" s="99" t="s">
        <v>104</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CONTACTO</v>
      </c>
      <c r="C833" s="85" t="str" cm="1">
        <f t="array" ref="C833">IFERROR(INDEX('03.Muestra'!$F$8:$F$42,SMALL(IF("Página Web"='03.Muestra'!$D$8:$D$42,ROW('03.Muestra'!$F$8:$F$42)-MIN(ROW('03.Muestra'!$D$8:$D$42))+1,""),ROW()-816)),"")</f>
        <v>https://www.comunidad.madrid/hospital/santacristina/comunicacion/contacto</v>
      </c>
      <c r="D833" s="99" t="s">
        <v>104</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ACCESIBILIDAD</v>
      </c>
      <c r="C834" s="85" t="str" cm="1">
        <f t="array" ref="C834">IFERROR(INDEX('03.Muestra'!$F$8:$F$42,SMALL(IF("Página Web"='03.Muestra'!$D$8:$D$42,ROW('03.Muestra'!$F$8:$F$42)-MIN(ROW('03.Muestra'!$D$8:$D$42))+1,""),ROW()-816)),"")</f>
        <v>https://www.comunidad.madrid/hospital/santacristina/declaracion-accesibilidad</v>
      </c>
      <c r="D834" s="99" t="s">
        <v>104</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LEGAL</v>
      </c>
      <c r="C835" s="85" t="str" cm="1">
        <f t="array" ref="C835">IFERROR(INDEX('03.Muestra'!$F$8:$F$42,SMALL(IF("Página Web"='03.Muestra'!$D$8:$D$42,ROW('03.Muestra'!$F$8:$F$42)-MIN(ROW('03.Muestra'!$D$8:$D$42))+1,""),ROW()-816)),"")</f>
        <v>https://www.comunidad.madrid/hospital/santacristina/ciudadanos/aviso-legal-privacidad</v>
      </c>
      <c r="D835" s="99" t="s">
        <v>104</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MAPA WEB</v>
      </c>
      <c r="C836" s="85" t="str" cm="1">
        <f t="array" ref="C836">IFERROR(INDEX('03.Muestra'!$F$8:$F$42,SMALL(IF("Página Web"='03.Muestra'!$D$8:$D$42,ROW('03.Muestra'!$F$8:$F$42)-MIN(ROW('03.Muestra'!$D$8:$D$42))+1,""),ROW()-816)),"")</f>
        <v>https://www.comunidad.madrid/hospital/santacristina/sitemap</v>
      </c>
      <c r="D836" s="99" t="s">
        <v>104</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PRINCIPAL</v>
      </c>
      <c r="C855" s="85" t="str" cm="1">
        <f t="array" ref="C855">IFERROR(INDEX('03.Muestra'!$F$8:$F$42,SMALL(IF("Página Web"='03.Muestra'!$D$8:$D$42,ROW('03.Muestra'!$F$8:$F$42)-MIN(ROW('03.Muestra'!$D$8:$D$42))+1,""),ROW()-854)),"")</f>
        <v>https://www.comunidad.madrid/hospital/santacristina/</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https://www.comunidad.madrid/hospital/santacristina/ciudadanos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https://www.comunidad.madrid/hospital/santacristina/profesionales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COMUNICACIÓN</v>
      </c>
      <c r="C858" s="85" t="str" cm="1">
        <f t="array" ref="C858">IFERROR(INDEX('03.Muestra'!$F$8:$F$42,SMALL(IF("Página Web"='03.Muestra'!$D$8:$D$42,ROW('03.Muestra'!$F$8:$F$42)-MIN(ROW('03.Muestra'!$D$8:$D$42))+1,""),ROW()-854)),"")</f>
        <v>https://www.comunidad.madrid/hospital/santacristina/comunicacion</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https://www.comunidad.madrid/hospital/santacristina/nosotros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BUSCADOR</v>
      </c>
      <c r="C860" s="85" t="str" cm="1">
        <f t="array" ref="C860">IFERROR(INDEX('03.Muestra'!$F$8:$F$42,SMALL(IF("Página Web"='03.Muestra'!$D$8:$D$42,ROW('03.Muestra'!$F$8:$F$42)-MIN(ROW('03.Muestra'!$D$8:$D$42))+1,""),ROW()-854)),"")</f>
        <v>https://www.comunidad.madrid/hospital/santacristina/buscar?search_api_fulltext=&amp;nombre=</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ATENCIÓN AL PACIENTE</v>
      </c>
      <c r="C861" s="85" t="str" cm="1">
        <f t="array" ref="C861">IFERROR(INDEX('03.Muestra'!$F$8:$F$42,SMALL(IF("Página Web"='03.Muestra'!$D$8:$D$42,ROW('03.Muestra'!$F$8:$F$42)-MIN(ROW('03.Muestra'!$D$8:$D$42))+1,""),ROW()-854)),"")</f>
        <v>https://www.comunidad.madrid/hospital/santacristina/ciudadanos/atencion-paciente</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ATENCIÓN ESPIRITUAL</v>
      </c>
      <c r="C862" s="85" t="str" cm="1">
        <f t="array" ref="C862">IFERROR(INDEX('03.Muestra'!$F$8:$F$42,SMALL(IF("Página Web"='03.Muestra'!$D$8:$D$42,ROW('03.Muestra'!$F$8:$F$42)-MIN(ROW('03.Muestra'!$D$8:$D$42))+1,""),ROW()-854)),"")</f>
        <v>https://www.comunidad.madrid/hospital/santacristina/ciudadanos/atencion-espiritual-religiosa</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LOCALIZACIÓN Y ACCESO</v>
      </c>
      <c r="C863" s="85" t="str" cm="1">
        <f t="array" ref="C863">IFERROR(INDEX('03.Muestra'!$F$8:$F$42,SMALL(IF("Página Web"='03.Muestra'!$D$8:$D$42,ROW('03.Muestra'!$F$8:$F$42)-MIN(ROW('03.Muestra'!$D$8:$D$42))+1,""),ROW()-854)),"")</f>
        <v>https://www.comunidad.madrid/hospital/santacristina/ciudadanos/localizacion-acceso</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GUÍAS DE USUARIO</v>
      </c>
      <c r="C864" s="85" t="str" cm="1">
        <f t="array" ref="C864">IFERROR(INDEX('03.Muestra'!$F$8:$F$42,SMALL(IF("Página Web"='03.Muestra'!$D$8:$D$42,ROW('03.Muestra'!$F$8:$F$42)-MIN(ROW('03.Muestra'!$D$8:$D$42))+1,""),ROW()-854)),"")</f>
        <v>https://www.comunidad.madrid/hospital/santacristina/ciudadanos/guias-usuario</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SERVICIOS QUIRÚRGICOS</v>
      </c>
      <c r="C865" s="85" t="str" cm="1">
        <f t="array" ref="C865">IFERROR(INDEX('03.Muestra'!$F$8:$F$42,SMALL(IF("Página Web"='03.Muestra'!$D$8:$D$42,ROW('03.Muestra'!$F$8:$F$42)-MIN(ROW('03.Muestra'!$D$8:$D$42))+1,""),ROW()-854)),"")</f>
        <v>https://www.comunidad.madrid/hospital/santacristina/profesionales/servicios-quirurgicos-0</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INVESTIGACIÓN</v>
      </c>
      <c r="C866" s="85" t="str" cm="1">
        <f t="array" ref="C866">IFERROR(INDEX('03.Muestra'!$F$8:$F$42,SMALL(IF("Página Web"='03.Muestra'!$D$8:$D$42,ROW('03.Muestra'!$F$8:$F$42)-MIN(ROW('03.Muestra'!$D$8:$D$42))+1,""),ROW()-854)),"")</f>
        <v>https://www.comunidad.madrid/hospital/santacristina/profesionales/investigacion-0</v>
      </c>
      <c r="D866" s="99" t="s">
        <v>104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NOTICIAS</v>
      </c>
      <c r="C867" s="85" t="str" cm="1">
        <f t="array" ref="C867">IFERROR(INDEX('03.Muestra'!$F$8:$F$42,SMALL(IF("Página Web"='03.Muestra'!$D$8:$D$42,ROW('03.Muestra'!$F$8:$F$42)-MIN(ROW('03.Muestra'!$D$8:$D$42))+1,""),ROW()-854)),"")</f>
        <v>https://www.comunidad.madrid/hospital/santacristina/comunicacion/noticias</v>
      </c>
      <c r="D867" s="99" t="s">
        <v>104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ACTOS DEL CENTENARIO</v>
      </c>
      <c r="C868" s="85" t="str" cm="1">
        <f t="array" ref="C868">IFERROR(INDEX('03.Muestra'!$F$8:$F$42,SMALL(IF("Página Web"='03.Muestra'!$D$8:$D$42,ROW('03.Muestra'!$F$8:$F$42)-MIN(ROW('03.Muestra'!$D$8:$D$42))+1,""),ROW()-854)),"")</f>
        <v>https://www.comunidad.madrid/hospital/santacristina/nosotros/actos-centenario</v>
      </c>
      <c r="D868" s="99" t="s">
        <v>104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ACCESIBILIDAD HOSPITAL</v>
      </c>
      <c r="C869" s="85" t="str" cm="1">
        <f t="array" ref="C869">IFERROR(INDEX('03.Muestra'!$F$8:$F$42,SMALL(IF("Página Web"='03.Muestra'!$D$8:$D$42,ROW('03.Muestra'!$F$8:$F$42)-MIN(ROW('03.Muestra'!$D$8:$D$42))+1,""),ROW()-854)),"")</f>
        <v>https://www.comunidad.madrid/hospital/santacristina/nosotros/accesibilidad-hospital</v>
      </c>
      <c r="D869" s="99" t="s">
        <v>104</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CARTERA DE SERVICIOS</v>
      </c>
      <c r="C870" s="85" t="str" cm="1">
        <f t="array" ref="C870">IFERROR(INDEX('03.Muestra'!$F$8:$F$42,SMALL(IF("Página Web"='03.Muestra'!$D$8:$D$42,ROW('03.Muestra'!$F$8:$F$42)-MIN(ROW('03.Muestra'!$D$8:$D$42))+1,""),ROW()-854)),"")</f>
        <v>https://www.comunidad.madrid/hospital/santacristina/nosotros/cartera-servicios</v>
      </c>
      <c r="D870" s="99" t="s">
        <v>104</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CONTACTO</v>
      </c>
      <c r="C871" s="85" t="str" cm="1">
        <f t="array" ref="C871">IFERROR(INDEX('03.Muestra'!$F$8:$F$42,SMALL(IF("Página Web"='03.Muestra'!$D$8:$D$42,ROW('03.Muestra'!$F$8:$F$42)-MIN(ROW('03.Muestra'!$D$8:$D$42))+1,""),ROW()-854)),"")</f>
        <v>https://www.comunidad.madrid/hospital/santacristina/comunicacion/contacto</v>
      </c>
      <c r="D871" s="99" t="s">
        <v>104</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ACCESIBILIDAD</v>
      </c>
      <c r="C872" s="85" t="str" cm="1">
        <f t="array" ref="C872">IFERROR(INDEX('03.Muestra'!$F$8:$F$42,SMALL(IF("Página Web"='03.Muestra'!$D$8:$D$42,ROW('03.Muestra'!$F$8:$F$42)-MIN(ROW('03.Muestra'!$D$8:$D$42))+1,""),ROW()-854)),"")</f>
        <v>https://www.comunidad.madrid/hospital/santacristina/declaracion-accesibilidad</v>
      </c>
      <c r="D872" s="99" t="s">
        <v>104</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LEGAL</v>
      </c>
      <c r="C873" s="85" t="str" cm="1">
        <f t="array" ref="C873">IFERROR(INDEX('03.Muestra'!$F$8:$F$42,SMALL(IF("Página Web"='03.Muestra'!$D$8:$D$42,ROW('03.Muestra'!$F$8:$F$42)-MIN(ROW('03.Muestra'!$D$8:$D$42))+1,""),ROW()-854)),"")</f>
        <v>https://www.comunidad.madrid/hospital/santacristina/ciudadanos/aviso-legal-privacidad</v>
      </c>
      <c r="D873" s="99" t="s">
        <v>104</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MAPA WEB</v>
      </c>
      <c r="C874" s="85" t="str" cm="1">
        <f t="array" ref="C874">IFERROR(INDEX('03.Muestra'!$F$8:$F$42,SMALL(IF("Página Web"='03.Muestra'!$D$8:$D$42,ROW('03.Muestra'!$F$8:$F$42)-MIN(ROW('03.Muestra'!$D$8:$D$42))+1,""),ROW()-854)),"")</f>
        <v>https://www.comunidad.madrid/hospital/santacristina/sitemap</v>
      </c>
      <c r="D874" s="99" t="s">
        <v>104</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PRINCIPAL</v>
      </c>
      <c r="C893" s="85" t="str" cm="1">
        <f t="array" ref="C893">IFERROR(INDEX('03.Muestra'!$F$8:$F$42,SMALL(IF("Página Web"='03.Muestra'!$D$8:$D$42,ROW('03.Muestra'!$F$8:$F$42)-MIN(ROW('03.Muestra'!$D$8:$D$42))+1,""),ROW()-892)),"")</f>
        <v>https://www.comunidad.madrid/hospital/santacristina/</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https://www.comunidad.madrid/hospital/santacristina/ciudadanos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https://www.comunidad.madrid/hospital/santacristina/profesionales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COMUNICACIÓN</v>
      </c>
      <c r="C896" s="85" t="str" cm="1">
        <f t="array" ref="C896">IFERROR(INDEX('03.Muestra'!$F$8:$F$42,SMALL(IF("Página Web"='03.Muestra'!$D$8:$D$42,ROW('03.Muestra'!$F$8:$F$42)-MIN(ROW('03.Muestra'!$D$8:$D$42))+1,""),ROW()-892)),"")</f>
        <v>https://www.comunidad.madrid/hospital/santacristina/comunicacion</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https://www.comunidad.madrid/hospital/santacristina/nosotros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BUSCADOR</v>
      </c>
      <c r="C898" s="85" t="str" cm="1">
        <f t="array" ref="C898">IFERROR(INDEX('03.Muestra'!$F$8:$F$42,SMALL(IF("Página Web"='03.Muestra'!$D$8:$D$42,ROW('03.Muestra'!$F$8:$F$42)-MIN(ROW('03.Muestra'!$D$8:$D$42))+1,""),ROW()-892)),"")</f>
        <v>https://www.comunidad.madrid/hospital/santacristina/buscar?search_api_fulltext=&amp;nombre=</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ATENCIÓN AL PACIENTE</v>
      </c>
      <c r="C899" s="85" t="str" cm="1">
        <f t="array" ref="C899">IFERROR(INDEX('03.Muestra'!$F$8:$F$42,SMALL(IF("Página Web"='03.Muestra'!$D$8:$D$42,ROW('03.Muestra'!$F$8:$F$42)-MIN(ROW('03.Muestra'!$D$8:$D$42))+1,""),ROW()-892)),"")</f>
        <v>https://www.comunidad.madrid/hospital/santacristina/ciudadanos/atencion-paciente</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ATENCIÓN ESPIRITUAL</v>
      </c>
      <c r="C900" s="85" t="str" cm="1">
        <f t="array" ref="C900">IFERROR(INDEX('03.Muestra'!$F$8:$F$42,SMALL(IF("Página Web"='03.Muestra'!$D$8:$D$42,ROW('03.Muestra'!$F$8:$F$42)-MIN(ROW('03.Muestra'!$D$8:$D$42))+1,""),ROW()-892)),"")</f>
        <v>https://www.comunidad.madrid/hospital/santacristina/ciudadanos/atencion-espiritual-religiosa</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LOCALIZACIÓN Y ACCESO</v>
      </c>
      <c r="C901" s="85" t="str" cm="1">
        <f t="array" ref="C901">IFERROR(INDEX('03.Muestra'!$F$8:$F$42,SMALL(IF("Página Web"='03.Muestra'!$D$8:$D$42,ROW('03.Muestra'!$F$8:$F$42)-MIN(ROW('03.Muestra'!$D$8:$D$42))+1,""),ROW()-892)),"")</f>
        <v>https://www.comunidad.madrid/hospital/santacristina/ciudadanos/localizacion-acceso</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GUÍAS DE USUARIO</v>
      </c>
      <c r="C902" s="85" t="str" cm="1">
        <f t="array" ref="C902">IFERROR(INDEX('03.Muestra'!$F$8:$F$42,SMALL(IF("Página Web"='03.Muestra'!$D$8:$D$42,ROW('03.Muestra'!$F$8:$F$42)-MIN(ROW('03.Muestra'!$D$8:$D$42))+1,""),ROW()-892)),"")</f>
        <v>https://www.comunidad.madrid/hospital/santacristina/ciudadanos/guias-usuario</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SERVICIOS QUIRÚRGICOS</v>
      </c>
      <c r="C903" s="85" t="str" cm="1">
        <f t="array" ref="C903">IFERROR(INDEX('03.Muestra'!$F$8:$F$42,SMALL(IF("Página Web"='03.Muestra'!$D$8:$D$42,ROW('03.Muestra'!$F$8:$F$42)-MIN(ROW('03.Muestra'!$D$8:$D$42))+1,""),ROW()-892)),"")</f>
        <v>https://www.comunidad.madrid/hospital/santacristina/profesionales/servicios-quirurgicos-0</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INVESTIGACIÓN</v>
      </c>
      <c r="C904" s="85" t="str" cm="1">
        <f t="array" ref="C904">IFERROR(INDEX('03.Muestra'!$F$8:$F$42,SMALL(IF("Página Web"='03.Muestra'!$D$8:$D$42,ROW('03.Muestra'!$F$8:$F$42)-MIN(ROW('03.Muestra'!$D$8:$D$42))+1,""),ROW()-892)),"")</f>
        <v>https://www.comunidad.madrid/hospital/santacristina/profesionales/investigacion-0</v>
      </c>
      <c r="D904" s="99" t="s">
        <v>104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NOTICIAS</v>
      </c>
      <c r="C905" s="85" t="str" cm="1">
        <f t="array" ref="C905">IFERROR(INDEX('03.Muestra'!$F$8:$F$42,SMALL(IF("Página Web"='03.Muestra'!$D$8:$D$42,ROW('03.Muestra'!$F$8:$F$42)-MIN(ROW('03.Muestra'!$D$8:$D$42))+1,""),ROW()-892)),"")</f>
        <v>https://www.comunidad.madrid/hospital/santacristina/comunicacion/noticias</v>
      </c>
      <c r="D905" s="99" t="s">
        <v>104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ACTOS DEL CENTENARIO</v>
      </c>
      <c r="C906" s="85" t="str" cm="1">
        <f t="array" ref="C906">IFERROR(INDEX('03.Muestra'!$F$8:$F$42,SMALL(IF("Página Web"='03.Muestra'!$D$8:$D$42,ROW('03.Muestra'!$F$8:$F$42)-MIN(ROW('03.Muestra'!$D$8:$D$42))+1,""),ROW()-892)),"")</f>
        <v>https://www.comunidad.madrid/hospital/santacristina/nosotros/actos-centenario</v>
      </c>
      <c r="D906" s="99" t="s">
        <v>104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ACCESIBILIDAD HOSPITAL</v>
      </c>
      <c r="C907" s="85" t="str" cm="1">
        <f t="array" ref="C907">IFERROR(INDEX('03.Muestra'!$F$8:$F$42,SMALL(IF("Página Web"='03.Muestra'!$D$8:$D$42,ROW('03.Muestra'!$F$8:$F$42)-MIN(ROW('03.Muestra'!$D$8:$D$42))+1,""),ROW()-892)),"")</f>
        <v>https://www.comunidad.madrid/hospital/santacristina/nosotros/accesibilidad-hospital</v>
      </c>
      <c r="D907" s="99" t="s">
        <v>104</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CARTERA DE SERVICIOS</v>
      </c>
      <c r="C908" s="85" t="str" cm="1">
        <f t="array" ref="C908">IFERROR(INDEX('03.Muestra'!$F$8:$F$42,SMALL(IF("Página Web"='03.Muestra'!$D$8:$D$42,ROW('03.Muestra'!$F$8:$F$42)-MIN(ROW('03.Muestra'!$D$8:$D$42))+1,""),ROW()-892)),"")</f>
        <v>https://www.comunidad.madrid/hospital/santacristina/nosotros/cartera-servicios</v>
      </c>
      <c r="D908" s="99" t="s">
        <v>104</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CONTACTO</v>
      </c>
      <c r="C909" s="85" t="str" cm="1">
        <f t="array" ref="C909">IFERROR(INDEX('03.Muestra'!$F$8:$F$42,SMALL(IF("Página Web"='03.Muestra'!$D$8:$D$42,ROW('03.Muestra'!$F$8:$F$42)-MIN(ROW('03.Muestra'!$D$8:$D$42))+1,""),ROW()-892)),"")</f>
        <v>https://www.comunidad.madrid/hospital/santacristina/comunicacion/contacto</v>
      </c>
      <c r="D909" s="99" t="s">
        <v>104</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ACCESIBILIDAD</v>
      </c>
      <c r="C910" s="85" t="str" cm="1">
        <f t="array" ref="C910">IFERROR(INDEX('03.Muestra'!$F$8:$F$42,SMALL(IF("Página Web"='03.Muestra'!$D$8:$D$42,ROW('03.Muestra'!$F$8:$F$42)-MIN(ROW('03.Muestra'!$D$8:$D$42))+1,""),ROW()-892)),"")</f>
        <v>https://www.comunidad.madrid/hospital/santacristina/declaracion-accesibilidad</v>
      </c>
      <c r="D910" s="99" t="s">
        <v>104</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LEGAL</v>
      </c>
      <c r="C911" s="85" t="str" cm="1">
        <f t="array" ref="C911">IFERROR(INDEX('03.Muestra'!$F$8:$F$42,SMALL(IF("Página Web"='03.Muestra'!$D$8:$D$42,ROW('03.Muestra'!$F$8:$F$42)-MIN(ROW('03.Muestra'!$D$8:$D$42))+1,""),ROW()-892)),"")</f>
        <v>https://www.comunidad.madrid/hospital/santacristina/ciudadanos/aviso-legal-privacidad</v>
      </c>
      <c r="D911" s="99" t="s">
        <v>104</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MAPA WEB</v>
      </c>
      <c r="C912" s="85" t="str" cm="1">
        <f t="array" ref="C912">IFERROR(INDEX('03.Muestra'!$F$8:$F$42,SMALL(IF("Página Web"='03.Muestra'!$D$8:$D$42,ROW('03.Muestra'!$F$8:$F$42)-MIN(ROW('03.Muestra'!$D$8:$D$42))+1,""),ROW()-892)),"")</f>
        <v>https://www.comunidad.madrid/hospital/santacristina/sitemap</v>
      </c>
      <c r="D912" s="99" t="s">
        <v>104</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PRINCIPAL</v>
      </c>
      <c r="C931" s="85" t="str" cm="1">
        <f t="array" ref="C931">IFERROR(INDEX('03.Muestra'!$F$8:$F$42,SMALL(IF("Página Web"='03.Muestra'!$D$8:$D$42,ROW('03.Muestra'!$F$8:$F$42)-MIN(ROW('03.Muestra'!$D$8:$D$42))+1,""),ROW()-930)),"")</f>
        <v>https://www.comunidad.madrid/hospital/santacristina/</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https://www.comunidad.madrid/hospital/santacristina/ciudadanos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https://www.comunidad.madrid/hospital/santacristina/profesionales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COMUNICACIÓN</v>
      </c>
      <c r="C934" s="85" t="str" cm="1">
        <f t="array" ref="C934">IFERROR(INDEX('03.Muestra'!$F$8:$F$42,SMALL(IF("Página Web"='03.Muestra'!$D$8:$D$42,ROW('03.Muestra'!$F$8:$F$42)-MIN(ROW('03.Muestra'!$D$8:$D$42))+1,""),ROW()-930)),"")</f>
        <v>https://www.comunidad.madrid/hospital/santacristina/comunicacion</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https://www.comunidad.madrid/hospital/santacristina/nosotros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BUSCADOR</v>
      </c>
      <c r="C936" s="85" t="str" cm="1">
        <f t="array" ref="C936">IFERROR(INDEX('03.Muestra'!$F$8:$F$42,SMALL(IF("Página Web"='03.Muestra'!$D$8:$D$42,ROW('03.Muestra'!$F$8:$F$42)-MIN(ROW('03.Muestra'!$D$8:$D$42))+1,""),ROW()-930)),"")</f>
        <v>https://www.comunidad.madrid/hospital/santacristina/buscar?search_api_fulltext=&amp;nombre=</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ATENCIÓN AL PACIENTE</v>
      </c>
      <c r="C937" s="85" t="str" cm="1">
        <f t="array" ref="C937">IFERROR(INDEX('03.Muestra'!$F$8:$F$42,SMALL(IF("Página Web"='03.Muestra'!$D$8:$D$42,ROW('03.Muestra'!$F$8:$F$42)-MIN(ROW('03.Muestra'!$D$8:$D$42))+1,""),ROW()-930)),"")</f>
        <v>https://www.comunidad.madrid/hospital/santacristina/ciudadanos/atencion-paciente</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ATENCIÓN ESPIRITUAL</v>
      </c>
      <c r="C938" s="85" t="str" cm="1">
        <f t="array" ref="C938">IFERROR(INDEX('03.Muestra'!$F$8:$F$42,SMALL(IF("Página Web"='03.Muestra'!$D$8:$D$42,ROW('03.Muestra'!$F$8:$F$42)-MIN(ROW('03.Muestra'!$D$8:$D$42))+1,""),ROW()-930)),"")</f>
        <v>https://www.comunidad.madrid/hospital/santacristina/ciudadanos/atencion-espiritual-religiosa</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LOCALIZACIÓN Y ACCESO</v>
      </c>
      <c r="C939" s="85" t="str" cm="1">
        <f t="array" ref="C939">IFERROR(INDEX('03.Muestra'!$F$8:$F$42,SMALL(IF("Página Web"='03.Muestra'!$D$8:$D$42,ROW('03.Muestra'!$F$8:$F$42)-MIN(ROW('03.Muestra'!$D$8:$D$42))+1,""),ROW()-930)),"")</f>
        <v>https://www.comunidad.madrid/hospital/santacristina/ciudadanos/localizacion-acceso</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GUÍAS DE USUARIO</v>
      </c>
      <c r="C940" s="85" t="str" cm="1">
        <f t="array" ref="C940">IFERROR(INDEX('03.Muestra'!$F$8:$F$42,SMALL(IF("Página Web"='03.Muestra'!$D$8:$D$42,ROW('03.Muestra'!$F$8:$F$42)-MIN(ROW('03.Muestra'!$D$8:$D$42))+1,""),ROW()-930)),"")</f>
        <v>https://www.comunidad.madrid/hospital/santacristina/ciudadanos/guias-usuario</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SERVICIOS QUIRÚRGICOS</v>
      </c>
      <c r="C941" s="85" t="str" cm="1">
        <f t="array" ref="C941">IFERROR(INDEX('03.Muestra'!$F$8:$F$42,SMALL(IF("Página Web"='03.Muestra'!$D$8:$D$42,ROW('03.Muestra'!$F$8:$F$42)-MIN(ROW('03.Muestra'!$D$8:$D$42))+1,""),ROW()-930)),"")</f>
        <v>https://www.comunidad.madrid/hospital/santacristina/profesionales/servicios-quirurgicos-0</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INVESTIGACIÓN</v>
      </c>
      <c r="C942" s="85" t="str" cm="1">
        <f t="array" ref="C942">IFERROR(INDEX('03.Muestra'!$F$8:$F$42,SMALL(IF("Página Web"='03.Muestra'!$D$8:$D$42,ROW('03.Muestra'!$F$8:$F$42)-MIN(ROW('03.Muestra'!$D$8:$D$42))+1,""),ROW()-930)),"")</f>
        <v>https://www.comunidad.madrid/hospital/santacristina/profesionales/investigacion-0</v>
      </c>
      <c r="D942" s="99" t="s">
        <v>104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NOTICIAS</v>
      </c>
      <c r="C943" s="85" t="str" cm="1">
        <f t="array" ref="C943">IFERROR(INDEX('03.Muestra'!$F$8:$F$42,SMALL(IF("Página Web"='03.Muestra'!$D$8:$D$42,ROW('03.Muestra'!$F$8:$F$42)-MIN(ROW('03.Muestra'!$D$8:$D$42))+1,""),ROW()-930)),"")</f>
        <v>https://www.comunidad.madrid/hospital/santacristina/comunicacion/noticias</v>
      </c>
      <c r="D943" s="99" t="s">
        <v>104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ACTOS DEL CENTENARIO</v>
      </c>
      <c r="C944" s="85" t="str" cm="1">
        <f t="array" ref="C944">IFERROR(INDEX('03.Muestra'!$F$8:$F$42,SMALL(IF("Página Web"='03.Muestra'!$D$8:$D$42,ROW('03.Muestra'!$F$8:$F$42)-MIN(ROW('03.Muestra'!$D$8:$D$42))+1,""),ROW()-930)),"")</f>
        <v>https://www.comunidad.madrid/hospital/santacristina/nosotros/actos-centenario</v>
      </c>
      <c r="D944" s="99" t="s">
        <v>104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ACCESIBILIDAD HOSPITAL</v>
      </c>
      <c r="C945" s="85" t="str" cm="1">
        <f t="array" ref="C945">IFERROR(INDEX('03.Muestra'!$F$8:$F$42,SMALL(IF("Página Web"='03.Muestra'!$D$8:$D$42,ROW('03.Muestra'!$F$8:$F$42)-MIN(ROW('03.Muestra'!$D$8:$D$42))+1,""),ROW()-930)),"")</f>
        <v>https://www.comunidad.madrid/hospital/santacristina/nosotros/accesibilidad-hospital</v>
      </c>
      <c r="D945" s="99" t="s">
        <v>104</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CARTERA DE SERVICIOS</v>
      </c>
      <c r="C946" s="85" t="str" cm="1">
        <f t="array" ref="C946">IFERROR(INDEX('03.Muestra'!$F$8:$F$42,SMALL(IF("Página Web"='03.Muestra'!$D$8:$D$42,ROW('03.Muestra'!$F$8:$F$42)-MIN(ROW('03.Muestra'!$D$8:$D$42))+1,""),ROW()-930)),"")</f>
        <v>https://www.comunidad.madrid/hospital/santacristina/nosotros/cartera-servicios</v>
      </c>
      <c r="D946" s="99" t="s">
        <v>104</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CONTACTO</v>
      </c>
      <c r="C947" s="85" t="str" cm="1">
        <f t="array" ref="C947">IFERROR(INDEX('03.Muestra'!$F$8:$F$42,SMALL(IF("Página Web"='03.Muestra'!$D$8:$D$42,ROW('03.Muestra'!$F$8:$F$42)-MIN(ROW('03.Muestra'!$D$8:$D$42))+1,""),ROW()-930)),"")</f>
        <v>https://www.comunidad.madrid/hospital/santacristina/comunicacion/contacto</v>
      </c>
      <c r="D947" s="99" t="s">
        <v>104</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ACCESIBILIDAD</v>
      </c>
      <c r="C948" s="85" t="str" cm="1">
        <f t="array" ref="C948">IFERROR(INDEX('03.Muestra'!$F$8:$F$42,SMALL(IF("Página Web"='03.Muestra'!$D$8:$D$42,ROW('03.Muestra'!$F$8:$F$42)-MIN(ROW('03.Muestra'!$D$8:$D$42))+1,""),ROW()-930)),"")</f>
        <v>https://www.comunidad.madrid/hospital/santacristina/declaracion-accesibilidad</v>
      </c>
      <c r="D948" s="99" t="s">
        <v>104</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LEGAL</v>
      </c>
      <c r="C949" s="85" t="str" cm="1">
        <f t="array" ref="C949">IFERROR(INDEX('03.Muestra'!$F$8:$F$42,SMALL(IF("Página Web"='03.Muestra'!$D$8:$D$42,ROW('03.Muestra'!$F$8:$F$42)-MIN(ROW('03.Muestra'!$D$8:$D$42))+1,""),ROW()-930)),"")</f>
        <v>https://www.comunidad.madrid/hospital/santacristina/ciudadanos/aviso-legal-privacidad</v>
      </c>
      <c r="D949" s="99" t="s">
        <v>104</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MAPA WEB</v>
      </c>
      <c r="C950" s="85" t="str" cm="1">
        <f t="array" ref="C950">IFERROR(INDEX('03.Muestra'!$F$8:$F$42,SMALL(IF("Página Web"='03.Muestra'!$D$8:$D$42,ROW('03.Muestra'!$F$8:$F$42)-MIN(ROW('03.Muestra'!$D$8:$D$42))+1,""),ROW()-930)),"")</f>
        <v>https://www.comunidad.madrid/hospital/santacristina/sitemap</v>
      </c>
      <c r="D950" s="99" t="s">
        <v>104</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PRINCIPAL</v>
      </c>
      <c r="C969" s="85" t="str" cm="1">
        <f t="array" ref="C969">IFERROR(INDEX('03.Muestra'!$F$8:$F$42,SMALL(IF("Página Web"='03.Muestra'!$D$8:$D$42,ROW('03.Muestra'!$F$8:$F$42)-MIN(ROW('03.Muestra'!$D$8:$D$42))+1,""),ROW()-968)),"")</f>
        <v>https://www.comunidad.madrid/hospital/santacristina/</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https://www.comunidad.madrid/hospital/santacristina/ciudadanos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20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https://www.comunidad.madrid/hospital/santacristina/profesionales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COMUNICACIÓN</v>
      </c>
      <c r="C972" s="85" t="str" cm="1">
        <f t="array" ref="C972">IFERROR(INDEX('03.Muestra'!$F$8:$F$42,SMALL(IF("Página Web"='03.Muestra'!$D$8:$D$42,ROW('03.Muestra'!$F$8:$F$42)-MIN(ROW('03.Muestra'!$D$8:$D$42))+1,""),ROW()-968)),"")</f>
        <v>https://www.comunidad.madrid/hospital/santacristina/comunicacion</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https://www.comunidad.madrid/hospital/santacristina/nosotros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BUSCADOR</v>
      </c>
      <c r="C974" s="85" t="str" cm="1">
        <f t="array" ref="C974">IFERROR(INDEX('03.Muestra'!$F$8:$F$42,SMALL(IF("Página Web"='03.Muestra'!$D$8:$D$42,ROW('03.Muestra'!$F$8:$F$42)-MIN(ROW('03.Muestra'!$D$8:$D$42))+1,""),ROW()-968)),"")</f>
        <v>https://www.comunidad.madrid/hospital/santacristina/buscar?search_api_fulltext=&amp;nombre=</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ATENCIÓN AL PACIENTE</v>
      </c>
      <c r="C975" s="85" t="str" cm="1">
        <f t="array" ref="C975">IFERROR(INDEX('03.Muestra'!$F$8:$F$42,SMALL(IF("Página Web"='03.Muestra'!$D$8:$D$42,ROW('03.Muestra'!$F$8:$F$42)-MIN(ROW('03.Muestra'!$D$8:$D$42))+1,""),ROW()-968)),"")</f>
        <v>https://www.comunidad.madrid/hospital/santacristina/ciudadanos/atencion-paciente</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ATENCIÓN ESPIRITUAL</v>
      </c>
      <c r="C976" s="85" t="str" cm="1">
        <f t="array" ref="C976">IFERROR(INDEX('03.Muestra'!$F$8:$F$42,SMALL(IF("Página Web"='03.Muestra'!$D$8:$D$42,ROW('03.Muestra'!$F$8:$F$42)-MIN(ROW('03.Muestra'!$D$8:$D$42))+1,""),ROW()-968)),"")</f>
        <v>https://www.comunidad.madrid/hospital/santacristina/ciudadanos/atencion-espiritual-religiosa</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LOCALIZACIÓN Y ACCESO</v>
      </c>
      <c r="C977" s="85" t="str" cm="1">
        <f t="array" ref="C977">IFERROR(INDEX('03.Muestra'!$F$8:$F$42,SMALL(IF("Página Web"='03.Muestra'!$D$8:$D$42,ROW('03.Muestra'!$F$8:$F$42)-MIN(ROW('03.Muestra'!$D$8:$D$42))+1,""),ROW()-968)),"")</f>
        <v>https://www.comunidad.madrid/hospital/santacristina/ciudadanos/localizacion-acceso</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GUÍAS DE USUARIO</v>
      </c>
      <c r="C978" s="85" t="str" cm="1">
        <f t="array" ref="C978">IFERROR(INDEX('03.Muestra'!$F$8:$F$42,SMALL(IF("Página Web"='03.Muestra'!$D$8:$D$42,ROW('03.Muestra'!$F$8:$F$42)-MIN(ROW('03.Muestra'!$D$8:$D$42))+1,""),ROW()-968)),"")</f>
        <v>https://www.comunidad.madrid/hospital/santacristina/ciudadanos/guias-usuario</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SERVICIOS QUIRÚRGICOS</v>
      </c>
      <c r="C979" s="85" t="str" cm="1">
        <f t="array" ref="C979">IFERROR(INDEX('03.Muestra'!$F$8:$F$42,SMALL(IF("Página Web"='03.Muestra'!$D$8:$D$42,ROW('03.Muestra'!$F$8:$F$42)-MIN(ROW('03.Muestra'!$D$8:$D$42))+1,""),ROW()-968)),"")</f>
        <v>https://www.comunidad.madrid/hospital/santacristina/profesionales/servicios-quirurgicos-0</v>
      </c>
      <c r="D979" s="99" t="s">
        <v>92</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INVESTIGACIÓN</v>
      </c>
      <c r="C980" s="85" t="str" cm="1">
        <f t="array" ref="C980">IFERROR(INDEX('03.Muestra'!$F$8:$F$42,SMALL(IF("Página Web"='03.Muestra'!$D$8:$D$42,ROW('03.Muestra'!$F$8:$F$42)-MIN(ROW('03.Muestra'!$D$8:$D$42))+1,""),ROW()-968)),"")</f>
        <v>https://www.comunidad.madrid/hospital/santacristina/profesionales/investigacion-0</v>
      </c>
      <c r="D980" s="99" t="s">
        <v>92</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NOTICIAS</v>
      </c>
      <c r="C981" s="85" t="str" cm="1">
        <f t="array" ref="C981">IFERROR(INDEX('03.Muestra'!$F$8:$F$42,SMALL(IF("Página Web"='03.Muestra'!$D$8:$D$42,ROW('03.Muestra'!$F$8:$F$42)-MIN(ROW('03.Muestra'!$D$8:$D$42))+1,""),ROW()-968)),"")</f>
        <v>https://www.comunidad.madrid/hospital/santacristina/comunicacion/noticias</v>
      </c>
      <c r="D981" s="99" t="s">
        <v>92</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ACTOS DEL CENTENARIO</v>
      </c>
      <c r="C982" s="85" t="str" cm="1">
        <f t="array" ref="C982">IFERROR(INDEX('03.Muestra'!$F$8:$F$42,SMALL(IF("Página Web"='03.Muestra'!$D$8:$D$42,ROW('03.Muestra'!$F$8:$F$42)-MIN(ROW('03.Muestra'!$D$8:$D$42))+1,""),ROW()-968)),"")</f>
        <v>https://www.comunidad.madrid/hospital/santacristina/nosotros/actos-centenario</v>
      </c>
      <c r="D982" s="99" t="s">
        <v>92</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ACCESIBILIDAD HOSPITAL</v>
      </c>
      <c r="C983" s="85" t="str" cm="1">
        <f t="array" ref="C983">IFERROR(INDEX('03.Muestra'!$F$8:$F$42,SMALL(IF("Página Web"='03.Muestra'!$D$8:$D$42,ROW('03.Muestra'!$F$8:$F$42)-MIN(ROW('03.Muestra'!$D$8:$D$42))+1,""),ROW()-968)),"")</f>
        <v>https://www.comunidad.madrid/hospital/santacristina/nosotros/accesibilidad-hospital</v>
      </c>
      <c r="D983" s="99" t="s">
        <v>92</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CARTERA DE SERVICIOS</v>
      </c>
      <c r="C984" s="85" t="str" cm="1">
        <f t="array" ref="C984">IFERROR(INDEX('03.Muestra'!$F$8:$F$42,SMALL(IF("Página Web"='03.Muestra'!$D$8:$D$42,ROW('03.Muestra'!$F$8:$F$42)-MIN(ROW('03.Muestra'!$D$8:$D$42))+1,""),ROW()-968)),"")</f>
        <v>https://www.comunidad.madrid/hospital/santacristina/nosotros/cartera-servicios</v>
      </c>
      <c r="D984" s="99" t="s">
        <v>92</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CONTACTO</v>
      </c>
      <c r="C985" s="85" t="str" cm="1">
        <f t="array" ref="C985">IFERROR(INDEX('03.Muestra'!$F$8:$F$42,SMALL(IF("Página Web"='03.Muestra'!$D$8:$D$42,ROW('03.Muestra'!$F$8:$F$42)-MIN(ROW('03.Muestra'!$D$8:$D$42))+1,""),ROW()-968)),"")</f>
        <v>https://www.comunidad.madrid/hospital/santacristina/comunicacion/contacto</v>
      </c>
      <c r="D985" s="99" t="s">
        <v>92</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ACCESIBILIDAD</v>
      </c>
      <c r="C986" s="85" t="str" cm="1">
        <f t="array" ref="C986">IFERROR(INDEX('03.Muestra'!$F$8:$F$42,SMALL(IF("Página Web"='03.Muestra'!$D$8:$D$42,ROW('03.Muestra'!$F$8:$F$42)-MIN(ROW('03.Muestra'!$D$8:$D$42))+1,""),ROW()-968)),"")</f>
        <v>https://www.comunidad.madrid/hospital/santacristina/declaracion-accesibilidad</v>
      </c>
      <c r="D986" s="99" t="s">
        <v>92</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LEGAL</v>
      </c>
      <c r="C987" s="85" t="str" cm="1">
        <f t="array" ref="C987">IFERROR(INDEX('03.Muestra'!$F$8:$F$42,SMALL(IF("Página Web"='03.Muestra'!$D$8:$D$42,ROW('03.Muestra'!$F$8:$F$42)-MIN(ROW('03.Muestra'!$D$8:$D$42))+1,""),ROW()-968)),"")</f>
        <v>https://www.comunidad.madrid/hospital/santacristina/ciudadanos/aviso-legal-privacidad</v>
      </c>
      <c r="D987" s="99" t="s">
        <v>92</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MAPA WEB</v>
      </c>
      <c r="C988" s="85" t="str" cm="1">
        <f t="array" ref="C988">IFERROR(INDEX('03.Muestra'!$F$8:$F$42,SMALL(IF("Página Web"='03.Muestra'!$D$8:$D$42,ROW('03.Muestra'!$F$8:$F$42)-MIN(ROW('03.Muestra'!$D$8:$D$42))+1,""),ROW()-968)),"")</f>
        <v>https://www.comunidad.madrid/hospital/santacristina/sitemap</v>
      </c>
      <c r="D988" s="99" t="s">
        <v>92</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PRINCIPAL</v>
      </c>
      <c r="C1007" s="85" t="str" cm="1">
        <f t="array" ref="C1007">IFERROR(INDEX('03.Muestra'!$F$8:$F$42,SMALL(IF("Página Web"='03.Muestra'!$D$8:$D$42,ROW('03.Muestra'!$F$8:$F$42)-MIN(ROW('03.Muestra'!$D$8:$D$42))+1,""),ROW()-1006)),"")</f>
        <v>https://www.comunidad.madrid/hospital/santacristina/</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https://www.comunidad.madrid/hospital/santacristina/ciudadanos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20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https://www.comunidad.madrid/hospital/santacristina/profesionales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COMUNICACIÓN</v>
      </c>
      <c r="C1010" s="85" t="str" cm="1">
        <f t="array" ref="C1010">IFERROR(INDEX('03.Muestra'!$F$8:$F$42,SMALL(IF("Página Web"='03.Muestra'!$D$8:$D$42,ROW('03.Muestra'!$F$8:$F$42)-MIN(ROW('03.Muestra'!$D$8:$D$42))+1,""),ROW()-1006)),"")</f>
        <v>https://www.comunidad.madrid/hospital/santacristina/comunicacion</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https://www.comunidad.madrid/hospital/santacristina/nosotros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BUSCADOR</v>
      </c>
      <c r="C1012" s="85" t="str" cm="1">
        <f t="array" ref="C1012">IFERROR(INDEX('03.Muestra'!$F$8:$F$42,SMALL(IF("Página Web"='03.Muestra'!$D$8:$D$42,ROW('03.Muestra'!$F$8:$F$42)-MIN(ROW('03.Muestra'!$D$8:$D$42))+1,""),ROW()-1006)),"")</f>
        <v>https://www.comunidad.madrid/hospital/santacristina/buscar?search_api_fulltext=&amp;nombre=</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ATENCIÓN AL PACIENTE</v>
      </c>
      <c r="C1013" s="85" t="str" cm="1">
        <f t="array" ref="C1013">IFERROR(INDEX('03.Muestra'!$F$8:$F$42,SMALL(IF("Página Web"='03.Muestra'!$D$8:$D$42,ROW('03.Muestra'!$F$8:$F$42)-MIN(ROW('03.Muestra'!$D$8:$D$42))+1,""),ROW()-1006)),"")</f>
        <v>https://www.comunidad.madrid/hospital/santacristina/ciudadanos/atencion-paciente</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ATENCIÓN ESPIRITUAL</v>
      </c>
      <c r="C1014" s="85" t="str" cm="1">
        <f t="array" ref="C1014">IFERROR(INDEX('03.Muestra'!$F$8:$F$42,SMALL(IF("Página Web"='03.Muestra'!$D$8:$D$42,ROW('03.Muestra'!$F$8:$F$42)-MIN(ROW('03.Muestra'!$D$8:$D$42))+1,""),ROW()-1006)),"")</f>
        <v>https://www.comunidad.madrid/hospital/santacristina/ciudadanos/atencion-espiritual-religiosa</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LOCALIZACIÓN Y ACCESO</v>
      </c>
      <c r="C1015" s="85" t="str" cm="1">
        <f t="array" ref="C1015">IFERROR(INDEX('03.Muestra'!$F$8:$F$42,SMALL(IF("Página Web"='03.Muestra'!$D$8:$D$42,ROW('03.Muestra'!$F$8:$F$42)-MIN(ROW('03.Muestra'!$D$8:$D$42))+1,""),ROW()-1006)),"")</f>
        <v>https://www.comunidad.madrid/hospital/santacristina/ciudadanos/localizacion-acceso</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GUÍAS DE USUARIO</v>
      </c>
      <c r="C1016" s="85" t="str" cm="1">
        <f t="array" ref="C1016">IFERROR(INDEX('03.Muestra'!$F$8:$F$42,SMALL(IF("Página Web"='03.Muestra'!$D$8:$D$42,ROW('03.Muestra'!$F$8:$F$42)-MIN(ROW('03.Muestra'!$D$8:$D$42))+1,""),ROW()-1006)),"")</f>
        <v>https://www.comunidad.madrid/hospital/santacristina/ciudadanos/guias-usuario</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SERVICIOS QUIRÚRGICOS</v>
      </c>
      <c r="C1017" s="85" t="str" cm="1">
        <f t="array" ref="C1017">IFERROR(INDEX('03.Muestra'!$F$8:$F$42,SMALL(IF("Página Web"='03.Muestra'!$D$8:$D$42,ROW('03.Muestra'!$F$8:$F$42)-MIN(ROW('03.Muestra'!$D$8:$D$42))+1,""),ROW()-1006)),"")</f>
        <v>https://www.comunidad.madrid/hospital/santacristina/profesionales/servicios-quirurgicos-0</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INVESTIGACIÓN</v>
      </c>
      <c r="C1018" s="85" t="str" cm="1">
        <f t="array" ref="C1018">IFERROR(INDEX('03.Muestra'!$F$8:$F$42,SMALL(IF("Página Web"='03.Muestra'!$D$8:$D$42,ROW('03.Muestra'!$F$8:$F$42)-MIN(ROW('03.Muestra'!$D$8:$D$42))+1,""),ROW()-1006)),"")</f>
        <v>https://www.comunidad.madrid/hospital/santacristina/profesionales/investigacion-0</v>
      </c>
      <c r="D1018" s="99" t="s">
        <v>92</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NOTICIAS</v>
      </c>
      <c r="C1019" s="85" t="str" cm="1">
        <f t="array" ref="C1019">IFERROR(INDEX('03.Muestra'!$F$8:$F$42,SMALL(IF("Página Web"='03.Muestra'!$D$8:$D$42,ROW('03.Muestra'!$F$8:$F$42)-MIN(ROW('03.Muestra'!$D$8:$D$42))+1,""),ROW()-1006)),"")</f>
        <v>https://www.comunidad.madrid/hospital/santacristina/comunicacion/noticias</v>
      </c>
      <c r="D1019" s="99" t="s">
        <v>92</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ACTOS DEL CENTENARIO</v>
      </c>
      <c r="C1020" s="85" t="str" cm="1">
        <f t="array" ref="C1020">IFERROR(INDEX('03.Muestra'!$F$8:$F$42,SMALL(IF("Página Web"='03.Muestra'!$D$8:$D$42,ROW('03.Muestra'!$F$8:$F$42)-MIN(ROW('03.Muestra'!$D$8:$D$42))+1,""),ROW()-1006)),"")</f>
        <v>https://www.comunidad.madrid/hospital/santacristina/nosotros/actos-centenario</v>
      </c>
      <c r="D1020" s="99" t="s">
        <v>92</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ACCESIBILIDAD HOSPITAL</v>
      </c>
      <c r="C1021" s="85" t="str" cm="1">
        <f t="array" ref="C1021">IFERROR(INDEX('03.Muestra'!$F$8:$F$42,SMALL(IF("Página Web"='03.Muestra'!$D$8:$D$42,ROW('03.Muestra'!$F$8:$F$42)-MIN(ROW('03.Muestra'!$D$8:$D$42))+1,""),ROW()-1006)),"")</f>
        <v>https://www.comunidad.madrid/hospital/santacristina/nosotros/accesibilidad-hospital</v>
      </c>
      <c r="D1021" s="99" t="s">
        <v>92</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CARTERA DE SERVICIOS</v>
      </c>
      <c r="C1022" s="85" t="str" cm="1">
        <f t="array" ref="C1022">IFERROR(INDEX('03.Muestra'!$F$8:$F$42,SMALL(IF("Página Web"='03.Muestra'!$D$8:$D$42,ROW('03.Muestra'!$F$8:$F$42)-MIN(ROW('03.Muestra'!$D$8:$D$42))+1,""),ROW()-1006)),"")</f>
        <v>https://www.comunidad.madrid/hospital/santacristina/nosotros/cartera-servicios</v>
      </c>
      <c r="D1022" s="99" t="s">
        <v>92</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CONTACTO</v>
      </c>
      <c r="C1023" s="85" t="str" cm="1">
        <f t="array" ref="C1023">IFERROR(INDEX('03.Muestra'!$F$8:$F$42,SMALL(IF("Página Web"='03.Muestra'!$D$8:$D$42,ROW('03.Muestra'!$F$8:$F$42)-MIN(ROW('03.Muestra'!$D$8:$D$42))+1,""),ROW()-1006)),"")</f>
        <v>https://www.comunidad.madrid/hospital/santacristina/comunicacion/contacto</v>
      </c>
      <c r="D1023" s="99" t="s">
        <v>92</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ACCESIBILIDAD</v>
      </c>
      <c r="C1024" s="85" t="str" cm="1">
        <f t="array" ref="C1024">IFERROR(INDEX('03.Muestra'!$F$8:$F$42,SMALL(IF("Página Web"='03.Muestra'!$D$8:$D$42,ROW('03.Muestra'!$F$8:$F$42)-MIN(ROW('03.Muestra'!$D$8:$D$42))+1,""),ROW()-1006)),"")</f>
        <v>https://www.comunidad.madrid/hospital/santacristina/declaracion-accesibilidad</v>
      </c>
      <c r="D1024" s="99" t="s">
        <v>92</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LEGAL</v>
      </c>
      <c r="C1025" s="85" t="str" cm="1">
        <f t="array" ref="C1025">IFERROR(INDEX('03.Muestra'!$F$8:$F$42,SMALL(IF("Página Web"='03.Muestra'!$D$8:$D$42,ROW('03.Muestra'!$F$8:$F$42)-MIN(ROW('03.Muestra'!$D$8:$D$42))+1,""),ROW()-1006)),"")</f>
        <v>https://www.comunidad.madrid/hospital/santacristina/ciudadanos/aviso-legal-privacidad</v>
      </c>
      <c r="D1025" s="99" t="s">
        <v>92</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MAPA WEB</v>
      </c>
      <c r="C1026" s="85" t="str" cm="1">
        <f t="array" ref="C1026">IFERROR(INDEX('03.Muestra'!$F$8:$F$42,SMALL(IF("Página Web"='03.Muestra'!$D$8:$D$42,ROW('03.Muestra'!$F$8:$F$42)-MIN(ROW('03.Muestra'!$D$8:$D$42))+1,""),ROW()-1006)),"")</f>
        <v>https://www.comunidad.madrid/hospital/santacristina/sitemap</v>
      </c>
      <c r="D1026" s="99" t="s">
        <v>92</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PRINCIPAL</v>
      </c>
      <c r="C1045" s="85" t="str" cm="1">
        <f t="array" ref="C1045">IFERROR(INDEX('03.Muestra'!$F$8:$F$42,SMALL(IF("Página Web"='03.Muestra'!$D$8:$D$42,ROW('03.Muestra'!$F$8:$F$42)-MIN(ROW('03.Muestra'!$D$8:$D$42))+1,""),ROW()-1044)),"")</f>
        <v>https://www.comunidad.madrid/hospital/santacristina/</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https://www.comunidad.madrid/hospital/santacristina/ciudadanos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20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https://www.comunidad.madrid/hospital/santacristina/profesionales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COMUNICACIÓN</v>
      </c>
      <c r="C1048" s="85" t="str" cm="1">
        <f t="array" ref="C1048">IFERROR(INDEX('03.Muestra'!$F$8:$F$42,SMALL(IF("Página Web"='03.Muestra'!$D$8:$D$42,ROW('03.Muestra'!$F$8:$F$42)-MIN(ROW('03.Muestra'!$D$8:$D$42))+1,""),ROW()-1044)),"")</f>
        <v>https://www.comunidad.madrid/hospital/santacristina/comunicacion</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https://www.comunidad.madrid/hospital/santacristina/nosotros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BUSCADOR</v>
      </c>
      <c r="C1050" s="85" t="str" cm="1">
        <f t="array" ref="C1050">IFERROR(INDEX('03.Muestra'!$F$8:$F$42,SMALL(IF("Página Web"='03.Muestra'!$D$8:$D$42,ROW('03.Muestra'!$F$8:$F$42)-MIN(ROW('03.Muestra'!$D$8:$D$42))+1,""),ROW()-1044)),"")</f>
        <v>https://www.comunidad.madrid/hospital/santacristina/buscar?search_api_fulltext=&amp;nombre=</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ATENCIÓN AL PACIENTE</v>
      </c>
      <c r="C1051" s="85" t="str" cm="1">
        <f t="array" ref="C1051">IFERROR(INDEX('03.Muestra'!$F$8:$F$42,SMALL(IF("Página Web"='03.Muestra'!$D$8:$D$42,ROW('03.Muestra'!$F$8:$F$42)-MIN(ROW('03.Muestra'!$D$8:$D$42))+1,""),ROW()-1044)),"")</f>
        <v>https://www.comunidad.madrid/hospital/santacristina/ciudadanos/atencion-paciente</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ATENCIÓN ESPIRITUAL</v>
      </c>
      <c r="C1052" s="85" t="str" cm="1">
        <f t="array" ref="C1052">IFERROR(INDEX('03.Muestra'!$F$8:$F$42,SMALL(IF("Página Web"='03.Muestra'!$D$8:$D$42,ROW('03.Muestra'!$F$8:$F$42)-MIN(ROW('03.Muestra'!$D$8:$D$42))+1,""),ROW()-1044)),"")</f>
        <v>https://www.comunidad.madrid/hospital/santacristina/ciudadanos/atencion-espiritual-religiosa</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LOCALIZACIÓN Y ACCESO</v>
      </c>
      <c r="C1053" s="85" t="str" cm="1">
        <f t="array" ref="C1053">IFERROR(INDEX('03.Muestra'!$F$8:$F$42,SMALL(IF("Página Web"='03.Muestra'!$D$8:$D$42,ROW('03.Muestra'!$F$8:$F$42)-MIN(ROW('03.Muestra'!$D$8:$D$42))+1,""),ROW()-1044)),"")</f>
        <v>https://www.comunidad.madrid/hospital/santacristina/ciudadanos/localizacion-acceso</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GUÍAS DE USUARIO</v>
      </c>
      <c r="C1054" s="85" t="str" cm="1">
        <f t="array" ref="C1054">IFERROR(INDEX('03.Muestra'!$F$8:$F$42,SMALL(IF("Página Web"='03.Muestra'!$D$8:$D$42,ROW('03.Muestra'!$F$8:$F$42)-MIN(ROW('03.Muestra'!$D$8:$D$42))+1,""),ROW()-1044)),"")</f>
        <v>https://www.comunidad.madrid/hospital/santacristina/ciudadanos/guias-usuario</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SERVICIOS QUIRÚRGICOS</v>
      </c>
      <c r="C1055" s="85" t="str" cm="1">
        <f t="array" ref="C1055">IFERROR(INDEX('03.Muestra'!$F$8:$F$42,SMALL(IF("Página Web"='03.Muestra'!$D$8:$D$42,ROW('03.Muestra'!$F$8:$F$42)-MIN(ROW('03.Muestra'!$D$8:$D$42))+1,""),ROW()-1044)),"")</f>
        <v>https://www.comunidad.madrid/hospital/santacristina/profesionales/servicios-quirurgicos-0</v>
      </c>
      <c r="D1055" s="99" t="s">
        <v>94</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INVESTIGACIÓN</v>
      </c>
      <c r="C1056" s="85" t="str" cm="1">
        <f t="array" ref="C1056">IFERROR(INDEX('03.Muestra'!$F$8:$F$42,SMALL(IF("Página Web"='03.Muestra'!$D$8:$D$42,ROW('03.Muestra'!$F$8:$F$42)-MIN(ROW('03.Muestra'!$D$8:$D$42))+1,""),ROW()-1044)),"")</f>
        <v>https://www.comunidad.madrid/hospital/santacristina/profesionales/investigacion-0</v>
      </c>
      <c r="D1056" s="99" t="s">
        <v>94</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NOTICIAS</v>
      </c>
      <c r="C1057" s="85" t="str" cm="1">
        <f t="array" ref="C1057">IFERROR(INDEX('03.Muestra'!$F$8:$F$42,SMALL(IF("Página Web"='03.Muestra'!$D$8:$D$42,ROW('03.Muestra'!$F$8:$F$42)-MIN(ROW('03.Muestra'!$D$8:$D$42))+1,""),ROW()-1044)),"")</f>
        <v>https://www.comunidad.madrid/hospital/santacristina/comunicacion/noticias</v>
      </c>
      <c r="D1057" s="99" t="s">
        <v>94</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ACTOS DEL CENTENARIO</v>
      </c>
      <c r="C1058" s="85" t="str" cm="1">
        <f t="array" ref="C1058">IFERROR(INDEX('03.Muestra'!$F$8:$F$42,SMALL(IF("Página Web"='03.Muestra'!$D$8:$D$42,ROW('03.Muestra'!$F$8:$F$42)-MIN(ROW('03.Muestra'!$D$8:$D$42))+1,""),ROW()-1044)),"")</f>
        <v>https://www.comunidad.madrid/hospital/santacristina/nosotros/actos-centenario</v>
      </c>
      <c r="D1058" s="99" t="s">
        <v>94</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ACCESIBILIDAD HOSPITAL</v>
      </c>
      <c r="C1059" s="85" t="str" cm="1">
        <f t="array" ref="C1059">IFERROR(INDEX('03.Muestra'!$F$8:$F$42,SMALL(IF("Página Web"='03.Muestra'!$D$8:$D$42,ROW('03.Muestra'!$F$8:$F$42)-MIN(ROW('03.Muestra'!$D$8:$D$42))+1,""),ROW()-1044)),"")</f>
        <v>https://www.comunidad.madrid/hospital/santacristina/nosotros/accesibilidad-hospital</v>
      </c>
      <c r="D1059" s="99" t="s">
        <v>94</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CARTERA DE SERVICIOS</v>
      </c>
      <c r="C1060" s="85" t="str" cm="1">
        <f t="array" ref="C1060">IFERROR(INDEX('03.Muestra'!$F$8:$F$42,SMALL(IF("Página Web"='03.Muestra'!$D$8:$D$42,ROW('03.Muestra'!$F$8:$F$42)-MIN(ROW('03.Muestra'!$D$8:$D$42))+1,""),ROW()-1044)),"")</f>
        <v>https://www.comunidad.madrid/hospital/santacristina/nosotros/cartera-servicios</v>
      </c>
      <c r="D1060" s="99" t="s">
        <v>94</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CONTACTO</v>
      </c>
      <c r="C1061" s="85" t="str" cm="1">
        <f t="array" ref="C1061">IFERROR(INDEX('03.Muestra'!$F$8:$F$42,SMALL(IF("Página Web"='03.Muestra'!$D$8:$D$42,ROW('03.Muestra'!$F$8:$F$42)-MIN(ROW('03.Muestra'!$D$8:$D$42))+1,""),ROW()-1044)),"")</f>
        <v>https://www.comunidad.madrid/hospital/santacristina/comunicacion/contacto</v>
      </c>
      <c r="D1061" s="99" t="s">
        <v>94</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ACCESIBILIDAD</v>
      </c>
      <c r="C1062" s="85" t="str" cm="1">
        <f t="array" ref="C1062">IFERROR(INDEX('03.Muestra'!$F$8:$F$42,SMALL(IF("Página Web"='03.Muestra'!$D$8:$D$42,ROW('03.Muestra'!$F$8:$F$42)-MIN(ROW('03.Muestra'!$D$8:$D$42))+1,""),ROW()-1044)),"")</f>
        <v>https://www.comunidad.madrid/hospital/santacristina/declaracion-accesibilidad</v>
      </c>
      <c r="D1062" s="99" t="s">
        <v>94</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LEGAL</v>
      </c>
      <c r="C1063" s="85" t="str" cm="1">
        <f t="array" ref="C1063">IFERROR(INDEX('03.Muestra'!$F$8:$F$42,SMALL(IF("Página Web"='03.Muestra'!$D$8:$D$42,ROW('03.Muestra'!$F$8:$F$42)-MIN(ROW('03.Muestra'!$D$8:$D$42))+1,""),ROW()-1044)),"")</f>
        <v>https://www.comunidad.madrid/hospital/santacristina/ciudadanos/aviso-legal-privacidad</v>
      </c>
      <c r="D1063" s="99" t="s">
        <v>94</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MAPA WEB</v>
      </c>
      <c r="C1064" s="85" t="str" cm="1">
        <f t="array" ref="C1064">IFERROR(INDEX('03.Muestra'!$F$8:$F$42,SMALL(IF("Página Web"='03.Muestra'!$D$8:$D$42,ROW('03.Muestra'!$F$8:$F$42)-MIN(ROW('03.Muestra'!$D$8:$D$42))+1,""),ROW()-1044)),"")</f>
        <v>https://www.comunidad.madrid/hospital/santacristina/sitemap</v>
      </c>
      <c r="D1064" s="99" t="s">
        <v>94</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PRINCIPAL</v>
      </c>
      <c r="C1083" s="85" t="str" cm="1">
        <f t="array" ref="C1083">IFERROR(INDEX('03.Muestra'!$F$8:$F$42,SMALL(IF("Página Web"='03.Muestra'!$D$8:$D$42,ROW('03.Muestra'!$F$8:$F$42)-MIN(ROW('03.Muestra'!$D$8:$D$42))+1,""),ROW()-1082)),"")</f>
        <v>https://www.comunidad.madrid/hospital/santacristina/</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https://www.comunidad.madrid/hospital/santacristina/ciudadanos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20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https://www.comunidad.madrid/hospital/santacristina/profesionales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COMUNICACIÓN</v>
      </c>
      <c r="C1086" s="85" t="str" cm="1">
        <f t="array" ref="C1086">IFERROR(INDEX('03.Muestra'!$F$8:$F$42,SMALL(IF("Página Web"='03.Muestra'!$D$8:$D$42,ROW('03.Muestra'!$F$8:$F$42)-MIN(ROW('03.Muestra'!$D$8:$D$42))+1,""),ROW()-1082)),"")</f>
        <v>https://www.comunidad.madrid/hospital/santacristina/comunicacion</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https://www.comunidad.madrid/hospital/santacristina/nosotros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BUSCADOR</v>
      </c>
      <c r="C1088" s="85" t="str" cm="1">
        <f t="array" ref="C1088">IFERROR(INDEX('03.Muestra'!$F$8:$F$42,SMALL(IF("Página Web"='03.Muestra'!$D$8:$D$42,ROW('03.Muestra'!$F$8:$F$42)-MIN(ROW('03.Muestra'!$D$8:$D$42))+1,""),ROW()-1082)),"")</f>
        <v>https://www.comunidad.madrid/hospital/santacristina/buscar?search_api_fulltext=&amp;nombre=</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ATENCIÓN AL PACIENTE</v>
      </c>
      <c r="C1089" s="85" t="str" cm="1">
        <f t="array" ref="C1089">IFERROR(INDEX('03.Muestra'!$F$8:$F$42,SMALL(IF("Página Web"='03.Muestra'!$D$8:$D$42,ROW('03.Muestra'!$F$8:$F$42)-MIN(ROW('03.Muestra'!$D$8:$D$42))+1,""),ROW()-1082)),"")</f>
        <v>https://www.comunidad.madrid/hospital/santacristina/ciudadanos/atencion-paciente</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ATENCIÓN ESPIRITUAL</v>
      </c>
      <c r="C1090" s="85" t="str" cm="1">
        <f t="array" ref="C1090">IFERROR(INDEX('03.Muestra'!$F$8:$F$42,SMALL(IF("Página Web"='03.Muestra'!$D$8:$D$42,ROW('03.Muestra'!$F$8:$F$42)-MIN(ROW('03.Muestra'!$D$8:$D$42))+1,""),ROW()-1082)),"")</f>
        <v>https://www.comunidad.madrid/hospital/santacristina/ciudadanos/atencion-espiritual-religiosa</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LOCALIZACIÓN Y ACCESO</v>
      </c>
      <c r="C1091" s="85" t="str" cm="1">
        <f t="array" ref="C1091">IFERROR(INDEX('03.Muestra'!$F$8:$F$42,SMALL(IF("Página Web"='03.Muestra'!$D$8:$D$42,ROW('03.Muestra'!$F$8:$F$42)-MIN(ROW('03.Muestra'!$D$8:$D$42))+1,""),ROW()-1082)),"")</f>
        <v>https://www.comunidad.madrid/hospital/santacristina/ciudadanos/localizacion-acceso</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GUÍAS DE USUARIO</v>
      </c>
      <c r="C1092" s="85" t="str" cm="1">
        <f t="array" ref="C1092">IFERROR(INDEX('03.Muestra'!$F$8:$F$42,SMALL(IF("Página Web"='03.Muestra'!$D$8:$D$42,ROW('03.Muestra'!$F$8:$F$42)-MIN(ROW('03.Muestra'!$D$8:$D$42))+1,""),ROW()-1082)),"")</f>
        <v>https://www.comunidad.madrid/hospital/santacristina/ciudadanos/guias-usuario</v>
      </c>
      <c r="D1092" s="99" t="s">
        <v>92</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SERVICIOS QUIRÚRGICOS</v>
      </c>
      <c r="C1093" s="85" t="str" cm="1">
        <f t="array" ref="C1093">IFERROR(INDEX('03.Muestra'!$F$8:$F$42,SMALL(IF("Página Web"='03.Muestra'!$D$8:$D$42,ROW('03.Muestra'!$F$8:$F$42)-MIN(ROW('03.Muestra'!$D$8:$D$42))+1,""),ROW()-1082)),"")</f>
        <v>https://www.comunidad.madrid/hospital/santacristina/profesionales/servicios-quirurgicos-0</v>
      </c>
      <c r="D1093" s="99" t="s">
        <v>92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INVESTIGACIÓN</v>
      </c>
      <c r="C1094" s="85" t="str" cm="1">
        <f t="array" ref="C1094">IFERROR(INDEX('03.Muestra'!$F$8:$F$42,SMALL(IF("Página Web"='03.Muestra'!$D$8:$D$42,ROW('03.Muestra'!$F$8:$F$42)-MIN(ROW('03.Muestra'!$D$8:$D$42))+1,""),ROW()-1082)),"")</f>
        <v>https://www.comunidad.madrid/hospital/santacristina/profesionales/investigacion-0</v>
      </c>
      <c r="D1094" s="99" t="s">
        <v>92</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NOTICIAS</v>
      </c>
      <c r="C1095" s="85" t="str" cm="1">
        <f t="array" ref="C1095">IFERROR(INDEX('03.Muestra'!$F$8:$F$42,SMALL(IF("Página Web"='03.Muestra'!$D$8:$D$42,ROW('03.Muestra'!$F$8:$F$42)-MIN(ROW('03.Muestra'!$D$8:$D$42))+1,""),ROW()-1082)),"")</f>
        <v>https://www.comunidad.madrid/hospital/santacristina/comunicacion/noticias</v>
      </c>
      <c r="D1095" s="99" t="s">
        <v>92</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ACTOS DEL CENTENARIO</v>
      </c>
      <c r="C1096" s="85" t="str" cm="1">
        <f t="array" ref="C1096">IFERROR(INDEX('03.Muestra'!$F$8:$F$42,SMALL(IF("Página Web"='03.Muestra'!$D$8:$D$42,ROW('03.Muestra'!$F$8:$F$42)-MIN(ROW('03.Muestra'!$D$8:$D$42))+1,""),ROW()-1082)),"")</f>
        <v>https://www.comunidad.madrid/hospital/santacristina/nosotros/actos-centenario</v>
      </c>
      <c r="D1096" s="99" t="s">
        <v>92</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ACCESIBILIDAD HOSPITAL</v>
      </c>
      <c r="C1097" s="85" t="str" cm="1">
        <f t="array" ref="C1097">IFERROR(INDEX('03.Muestra'!$F$8:$F$42,SMALL(IF("Página Web"='03.Muestra'!$D$8:$D$42,ROW('03.Muestra'!$F$8:$F$42)-MIN(ROW('03.Muestra'!$D$8:$D$42))+1,""),ROW()-1082)),"")</f>
        <v>https://www.comunidad.madrid/hospital/santacristina/nosotros/accesibilidad-hospital</v>
      </c>
      <c r="D1097" s="99" t="s">
        <v>92</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CARTERA DE SERVICIOS</v>
      </c>
      <c r="C1098" s="85" t="str" cm="1">
        <f t="array" ref="C1098">IFERROR(INDEX('03.Muestra'!$F$8:$F$42,SMALL(IF("Página Web"='03.Muestra'!$D$8:$D$42,ROW('03.Muestra'!$F$8:$F$42)-MIN(ROW('03.Muestra'!$D$8:$D$42))+1,""),ROW()-1082)),"")</f>
        <v>https://www.comunidad.madrid/hospital/santacristina/nosotros/cartera-servicios</v>
      </c>
      <c r="D1098" s="99" t="s">
        <v>92</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CONTACTO</v>
      </c>
      <c r="C1099" s="85" t="str" cm="1">
        <f t="array" ref="C1099">IFERROR(INDEX('03.Muestra'!$F$8:$F$42,SMALL(IF("Página Web"='03.Muestra'!$D$8:$D$42,ROW('03.Muestra'!$F$8:$F$42)-MIN(ROW('03.Muestra'!$D$8:$D$42))+1,""),ROW()-1082)),"")</f>
        <v>https://www.comunidad.madrid/hospital/santacristina/comunicacion/contacto</v>
      </c>
      <c r="D1099" s="99" t="s">
        <v>92</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ACCESIBILIDAD</v>
      </c>
      <c r="C1100" s="85" t="str" cm="1">
        <f t="array" ref="C1100">IFERROR(INDEX('03.Muestra'!$F$8:$F$42,SMALL(IF("Página Web"='03.Muestra'!$D$8:$D$42,ROW('03.Muestra'!$F$8:$F$42)-MIN(ROW('03.Muestra'!$D$8:$D$42))+1,""),ROW()-1082)),"")</f>
        <v>https://www.comunidad.madrid/hospital/santacristina/declaracion-accesibilidad</v>
      </c>
      <c r="D1100" s="99" t="s">
        <v>92</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LEGAL</v>
      </c>
      <c r="C1101" s="85" t="str" cm="1">
        <f t="array" ref="C1101">IFERROR(INDEX('03.Muestra'!$F$8:$F$42,SMALL(IF("Página Web"='03.Muestra'!$D$8:$D$42,ROW('03.Muestra'!$F$8:$F$42)-MIN(ROW('03.Muestra'!$D$8:$D$42))+1,""),ROW()-1082)),"")</f>
        <v>https://www.comunidad.madrid/hospital/santacristina/ciudadanos/aviso-legal-privacidad</v>
      </c>
      <c r="D1101" s="99" t="s">
        <v>92</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MAPA WEB</v>
      </c>
      <c r="C1102" s="85" t="str" cm="1">
        <f t="array" ref="C1102">IFERROR(INDEX('03.Muestra'!$F$8:$F$42,SMALL(IF("Página Web"='03.Muestra'!$D$8:$D$42,ROW('03.Muestra'!$F$8:$F$42)-MIN(ROW('03.Muestra'!$D$8:$D$42))+1,""),ROW()-1082)),"")</f>
        <v>https://www.comunidad.madrid/hospital/santacristina/sitemap</v>
      </c>
      <c r="D1102" s="99" t="s">
        <v>92</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PRINCIPAL</v>
      </c>
      <c r="C1121" s="85" t="str" cm="1">
        <f t="array" ref="C1121">IFERROR(INDEX('03.Muestra'!$F$8:$F$42,SMALL(IF("Página Web"='03.Muestra'!$D$8:$D$42,ROW('03.Muestra'!$F$8:$F$42)-MIN(ROW('03.Muestra'!$D$8:$D$42))+1,""),ROW()-1120)),"")</f>
        <v>https://www.comunidad.madrid/hospital/santacristina/</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https://www.comunidad.madrid/hospital/santacristina/ciudadanos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20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https://www.comunidad.madrid/hospital/santacristina/profesionales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COMUNICACIÓN</v>
      </c>
      <c r="C1124" s="85" t="str" cm="1">
        <f t="array" ref="C1124">IFERROR(INDEX('03.Muestra'!$F$8:$F$42,SMALL(IF("Página Web"='03.Muestra'!$D$8:$D$42,ROW('03.Muestra'!$F$8:$F$42)-MIN(ROW('03.Muestra'!$D$8:$D$42))+1,""),ROW()-1120)),"")</f>
        <v>https://www.comunidad.madrid/hospital/santacristina/comunicacion</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https://www.comunidad.madrid/hospital/santacristina/nosotros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BUSCADOR</v>
      </c>
      <c r="C1126" s="85" t="str" cm="1">
        <f t="array" ref="C1126">IFERROR(INDEX('03.Muestra'!$F$8:$F$42,SMALL(IF("Página Web"='03.Muestra'!$D$8:$D$42,ROW('03.Muestra'!$F$8:$F$42)-MIN(ROW('03.Muestra'!$D$8:$D$42))+1,""),ROW()-1120)),"")</f>
        <v>https://www.comunidad.madrid/hospital/santacristina/buscar?search_api_fulltext=&amp;nombre=</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ATENCIÓN AL PACIENTE</v>
      </c>
      <c r="C1127" s="85" t="str" cm="1">
        <f t="array" ref="C1127">IFERROR(INDEX('03.Muestra'!$F$8:$F$42,SMALL(IF("Página Web"='03.Muestra'!$D$8:$D$42,ROW('03.Muestra'!$F$8:$F$42)-MIN(ROW('03.Muestra'!$D$8:$D$42))+1,""),ROW()-1120)),"")</f>
        <v>https://www.comunidad.madrid/hospital/santacristina/ciudadanos/atencion-paciente</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ATENCIÓN ESPIRITUAL</v>
      </c>
      <c r="C1128" s="85" t="str" cm="1">
        <f t="array" ref="C1128">IFERROR(INDEX('03.Muestra'!$F$8:$F$42,SMALL(IF("Página Web"='03.Muestra'!$D$8:$D$42,ROW('03.Muestra'!$F$8:$F$42)-MIN(ROW('03.Muestra'!$D$8:$D$42))+1,""),ROW()-1120)),"")</f>
        <v>https://www.comunidad.madrid/hospital/santacristina/ciudadanos/atencion-espiritual-religiosa</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LOCALIZACIÓN Y ACCESO</v>
      </c>
      <c r="C1129" s="85" t="str" cm="1">
        <f t="array" ref="C1129">IFERROR(INDEX('03.Muestra'!$F$8:$F$42,SMALL(IF("Página Web"='03.Muestra'!$D$8:$D$42,ROW('03.Muestra'!$F$8:$F$42)-MIN(ROW('03.Muestra'!$D$8:$D$42))+1,""),ROW()-1120)),"")</f>
        <v>https://www.comunidad.madrid/hospital/santacristina/ciudadanos/localizacion-acceso</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GUÍAS DE USUARIO</v>
      </c>
      <c r="C1130" s="85" t="str" cm="1">
        <f t="array" ref="C1130">IFERROR(INDEX('03.Muestra'!$F$8:$F$42,SMALL(IF("Página Web"='03.Muestra'!$D$8:$D$42,ROW('03.Muestra'!$F$8:$F$42)-MIN(ROW('03.Muestra'!$D$8:$D$42))+1,""),ROW()-1120)),"")</f>
        <v>https://www.comunidad.madrid/hospital/santacristina/ciudadanos/guias-usuario</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SERVICIOS QUIRÚRGICOS</v>
      </c>
      <c r="C1131" s="85" t="str" cm="1">
        <f t="array" ref="C1131">IFERROR(INDEX('03.Muestra'!$F$8:$F$42,SMALL(IF("Página Web"='03.Muestra'!$D$8:$D$42,ROW('03.Muestra'!$F$8:$F$42)-MIN(ROW('03.Muestra'!$D$8:$D$42))+1,""),ROW()-1120)),"")</f>
        <v>https://www.comunidad.madrid/hospital/santacristina/profesionales/servicios-quirurgicos-0</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INVESTIGACIÓN</v>
      </c>
      <c r="C1132" s="85" t="str" cm="1">
        <f t="array" ref="C1132">IFERROR(INDEX('03.Muestra'!$F$8:$F$42,SMALL(IF("Página Web"='03.Muestra'!$D$8:$D$42,ROW('03.Muestra'!$F$8:$F$42)-MIN(ROW('03.Muestra'!$D$8:$D$42))+1,""),ROW()-1120)),"")</f>
        <v>https://www.comunidad.madrid/hospital/santacristina/profesionales/investigacion-0</v>
      </c>
      <c r="D1132" s="99" t="s">
        <v>92</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NOTICIAS</v>
      </c>
      <c r="C1133" s="85" t="str" cm="1">
        <f t="array" ref="C1133">IFERROR(INDEX('03.Muestra'!$F$8:$F$42,SMALL(IF("Página Web"='03.Muestra'!$D$8:$D$42,ROW('03.Muestra'!$F$8:$F$42)-MIN(ROW('03.Muestra'!$D$8:$D$42))+1,""),ROW()-1120)),"")</f>
        <v>https://www.comunidad.madrid/hospital/santacristina/comunicacion/noticias</v>
      </c>
      <c r="D1133" s="99" t="s">
        <v>92</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ACTOS DEL CENTENARIO</v>
      </c>
      <c r="C1134" s="85" t="str" cm="1">
        <f t="array" ref="C1134">IFERROR(INDEX('03.Muestra'!$F$8:$F$42,SMALL(IF("Página Web"='03.Muestra'!$D$8:$D$42,ROW('03.Muestra'!$F$8:$F$42)-MIN(ROW('03.Muestra'!$D$8:$D$42))+1,""),ROW()-1120)),"")</f>
        <v>https://www.comunidad.madrid/hospital/santacristina/nosotros/actos-centenario</v>
      </c>
      <c r="D1134" s="99" t="s">
        <v>92</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ACCESIBILIDAD HOSPITAL</v>
      </c>
      <c r="C1135" s="85" t="str" cm="1">
        <f t="array" ref="C1135">IFERROR(INDEX('03.Muestra'!$F$8:$F$42,SMALL(IF("Página Web"='03.Muestra'!$D$8:$D$42,ROW('03.Muestra'!$F$8:$F$42)-MIN(ROW('03.Muestra'!$D$8:$D$42))+1,""),ROW()-1120)),"")</f>
        <v>https://www.comunidad.madrid/hospital/santacristina/nosotros/accesibilidad-hospital</v>
      </c>
      <c r="D1135" s="99" t="s">
        <v>92</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CARTERA DE SERVICIOS</v>
      </c>
      <c r="C1136" s="85" t="str" cm="1">
        <f t="array" ref="C1136">IFERROR(INDEX('03.Muestra'!$F$8:$F$42,SMALL(IF("Página Web"='03.Muestra'!$D$8:$D$42,ROW('03.Muestra'!$F$8:$F$42)-MIN(ROW('03.Muestra'!$D$8:$D$42))+1,""),ROW()-1120)),"")</f>
        <v>https://www.comunidad.madrid/hospital/santacristina/nosotros/cartera-servicios</v>
      </c>
      <c r="D1136" s="99" t="s">
        <v>92</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CONTACTO</v>
      </c>
      <c r="C1137" s="85" t="str" cm="1">
        <f t="array" ref="C1137">IFERROR(INDEX('03.Muestra'!$F$8:$F$42,SMALL(IF("Página Web"='03.Muestra'!$D$8:$D$42,ROW('03.Muestra'!$F$8:$F$42)-MIN(ROW('03.Muestra'!$D$8:$D$42))+1,""),ROW()-1120)),"")</f>
        <v>https://www.comunidad.madrid/hospital/santacristina/comunicacion/contacto</v>
      </c>
      <c r="D1137" s="99" t="s">
        <v>92</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ACCESIBILIDAD</v>
      </c>
      <c r="C1138" s="85" t="str" cm="1">
        <f t="array" ref="C1138">IFERROR(INDEX('03.Muestra'!$F$8:$F$42,SMALL(IF("Página Web"='03.Muestra'!$D$8:$D$42,ROW('03.Muestra'!$F$8:$F$42)-MIN(ROW('03.Muestra'!$D$8:$D$42))+1,""),ROW()-1120)),"")</f>
        <v>https://www.comunidad.madrid/hospital/santacristina/declaracion-accesibilidad</v>
      </c>
      <c r="D1138" s="99" t="s">
        <v>92</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LEGAL</v>
      </c>
      <c r="C1139" s="85" t="str" cm="1">
        <f t="array" ref="C1139">IFERROR(INDEX('03.Muestra'!$F$8:$F$42,SMALL(IF("Página Web"='03.Muestra'!$D$8:$D$42,ROW('03.Muestra'!$F$8:$F$42)-MIN(ROW('03.Muestra'!$D$8:$D$42))+1,""),ROW()-1120)),"")</f>
        <v>https://www.comunidad.madrid/hospital/santacristina/ciudadanos/aviso-legal-privacidad</v>
      </c>
      <c r="D1139" s="99" t="s">
        <v>92</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MAPA WEB</v>
      </c>
      <c r="C1140" s="85" t="str" cm="1">
        <f t="array" ref="C1140">IFERROR(INDEX('03.Muestra'!$F$8:$F$42,SMALL(IF("Página Web"='03.Muestra'!$D$8:$D$42,ROW('03.Muestra'!$F$8:$F$42)-MIN(ROW('03.Muestra'!$D$8:$D$42))+1,""),ROW()-1120)),"")</f>
        <v>https://www.comunidad.madrid/hospital/santacristina/sitemap</v>
      </c>
      <c r="D1140" s="99" t="s">
        <v>92</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PRINCIPAL</v>
      </c>
      <c r="C1159" s="85" t="str" cm="1">
        <f t="array" ref="C1159">IFERROR(INDEX('03.Muestra'!$F$8:$F$42,SMALL(IF("Página Web"='03.Muestra'!$D$8:$D$42,ROW('03.Muestra'!$F$8:$F$42)-MIN(ROW('03.Muestra'!$D$8:$D$42))+1,""),ROW()-1158)),"")</f>
        <v>https://www.comunidad.madrid/hospital/santacristina/</v>
      </c>
      <c r="D1159" s="99" t="s">
        <v>94</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https://www.comunidad.madrid/hospital/santacristina/ciudadanos</v>
      </c>
      <c r="D1160" s="99" t="s">
        <v>94</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20</v>
      </c>
      <c r="J1160" s="91">
        <f ca="1">COUNTIF($D1159:INDIRECT("$D" &amp;  SUM(ROW()-1,'03.Muestra'!$D$45)-1),J1159)</f>
        <v>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https://www.comunidad.madrid/hospital/santacristina/profesionales</v>
      </c>
      <c r="D1161" s="99" t="s">
        <v>94</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COMUNICACIÓN</v>
      </c>
      <c r="C1162" s="85" t="str" cm="1">
        <f t="array" ref="C1162">IFERROR(INDEX('03.Muestra'!$F$8:$F$42,SMALL(IF("Página Web"='03.Muestra'!$D$8:$D$42,ROW('03.Muestra'!$F$8:$F$42)-MIN(ROW('03.Muestra'!$D$8:$D$42))+1,""),ROW()-1158)),"")</f>
        <v>https://www.comunidad.madrid/hospital/santacristina/comunicacion</v>
      </c>
      <c r="D1162" s="99" t="s">
        <v>94</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https://www.comunidad.madrid/hospital/santacristina/nosotros</v>
      </c>
      <c r="D1163" s="99" t="s">
        <v>94</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BUSCADOR</v>
      </c>
      <c r="C1164" s="85" t="str" cm="1">
        <f t="array" ref="C1164">IFERROR(INDEX('03.Muestra'!$F$8:$F$42,SMALL(IF("Página Web"='03.Muestra'!$D$8:$D$42,ROW('03.Muestra'!$F$8:$F$42)-MIN(ROW('03.Muestra'!$D$8:$D$42))+1,""),ROW()-1158)),"")</f>
        <v>https://www.comunidad.madrid/hospital/santacristina/buscar?search_api_fulltext=&amp;nombre=</v>
      </c>
      <c r="D1164" s="99" t="s">
        <v>94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ATENCIÓN AL PACIENTE</v>
      </c>
      <c r="C1165" s="85" t="str" cm="1">
        <f t="array" ref="C1165">IFERROR(INDEX('03.Muestra'!$F$8:$F$42,SMALL(IF("Página Web"='03.Muestra'!$D$8:$D$42,ROW('03.Muestra'!$F$8:$F$42)-MIN(ROW('03.Muestra'!$D$8:$D$42))+1,""),ROW()-1158)),"")</f>
        <v>https://www.comunidad.madrid/hospital/santacristina/ciudadanos/atencion-paciente</v>
      </c>
      <c r="D1165" s="99" t="s">
        <v>94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ATENCIÓN ESPIRITUAL</v>
      </c>
      <c r="C1166" s="85" t="str" cm="1">
        <f t="array" ref="C1166">IFERROR(INDEX('03.Muestra'!$F$8:$F$42,SMALL(IF("Página Web"='03.Muestra'!$D$8:$D$42,ROW('03.Muestra'!$F$8:$F$42)-MIN(ROW('03.Muestra'!$D$8:$D$42))+1,""),ROW()-1158)),"")</f>
        <v>https://www.comunidad.madrid/hospital/santacristina/ciudadanos/atencion-espiritual-religiosa</v>
      </c>
      <c r="D1166" s="99" t="s">
        <v>94</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LOCALIZACIÓN Y ACCESO</v>
      </c>
      <c r="C1167" s="85" t="str" cm="1">
        <f t="array" ref="C1167">IFERROR(INDEX('03.Muestra'!$F$8:$F$42,SMALL(IF("Página Web"='03.Muestra'!$D$8:$D$42,ROW('03.Muestra'!$F$8:$F$42)-MIN(ROW('03.Muestra'!$D$8:$D$42))+1,""),ROW()-1158)),"")</f>
        <v>https://www.comunidad.madrid/hospital/santacristina/ciudadanos/localizacion-acceso</v>
      </c>
      <c r="D1167" s="99" t="s">
        <v>94</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GUÍAS DE USUARIO</v>
      </c>
      <c r="C1168" s="85" t="str" cm="1">
        <f t="array" ref="C1168">IFERROR(INDEX('03.Muestra'!$F$8:$F$42,SMALL(IF("Página Web"='03.Muestra'!$D$8:$D$42,ROW('03.Muestra'!$F$8:$F$42)-MIN(ROW('03.Muestra'!$D$8:$D$42))+1,""),ROW()-1158)),"")</f>
        <v>https://www.comunidad.madrid/hospital/santacristina/ciudadanos/guias-usuario</v>
      </c>
      <c r="D1168" s="99" t="s">
        <v>94</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SERVICIOS QUIRÚRGICOS</v>
      </c>
      <c r="C1169" s="85" t="str" cm="1">
        <f t="array" ref="C1169">IFERROR(INDEX('03.Muestra'!$F$8:$F$42,SMALL(IF("Página Web"='03.Muestra'!$D$8:$D$42,ROW('03.Muestra'!$F$8:$F$42)-MIN(ROW('03.Muestra'!$D$8:$D$42))+1,""),ROW()-1158)),"")</f>
        <v>https://www.comunidad.madrid/hospital/santacristina/profesionales/servicios-quirurgicos-0</v>
      </c>
      <c r="D1169" s="99" t="s">
        <v>94</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INVESTIGACIÓN</v>
      </c>
      <c r="C1170" s="85" t="str" cm="1">
        <f t="array" ref="C1170">IFERROR(INDEX('03.Muestra'!$F$8:$F$42,SMALL(IF("Página Web"='03.Muestra'!$D$8:$D$42,ROW('03.Muestra'!$F$8:$F$42)-MIN(ROW('03.Muestra'!$D$8:$D$42))+1,""),ROW()-1158)),"")</f>
        <v>https://www.comunidad.madrid/hospital/santacristina/profesionales/investigacion-0</v>
      </c>
      <c r="D1170" s="99" t="s">
        <v>94</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NOTICIAS</v>
      </c>
      <c r="C1171" s="85" t="str" cm="1">
        <f t="array" ref="C1171">IFERROR(INDEX('03.Muestra'!$F$8:$F$42,SMALL(IF("Página Web"='03.Muestra'!$D$8:$D$42,ROW('03.Muestra'!$F$8:$F$42)-MIN(ROW('03.Muestra'!$D$8:$D$42))+1,""),ROW()-1158)),"")</f>
        <v>https://www.comunidad.madrid/hospital/santacristina/comunicacion/noticias</v>
      </c>
      <c r="D1171" s="99" t="s">
        <v>94</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ACTOS DEL CENTENARIO</v>
      </c>
      <c r="C1172" s="85" t="str" cm="1">
        <f t="array" ref="C1172">IFERROR(INDEX('03.Muestra'!$F$8:$F$42,SMALL(IF("Página Web"='03.Muestra'!$D$8:$D$42,ROW('03.Muestra'!$F$8:$F$42)-MIN(ROW('03.Muestra'!$D$8:$D$42))+1,""),ROW()-1158)),"")</f>
        <v>https://www.comunidad.madrid/hospital/santacristina/nosotros/actos-centenario</v>
      </c>
      <c r="D1172" s="99" t="s">
        <v>94</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ACCESIBILIDAD HOSPITAL</v>
      </c>
      <c r="C1173" s="85" t="str" cm="1">
        <f t="array" ref="C1173">IFERROR(INDEX('03.Muestra'!$F$8:$F$42,SMALL(IF("Página Web"='03.Muestra'!$D$8:$D$42,ROW('03.Muestra'!$F$8:$F$42)-MIN(ROW('03.Muestra'!$D$8:$D$42))+1,""),ROW()-1158)),"")</f>
        <v>https://www.comunidad.madrid/hospital/santacristina/nosotros/accesibilidad-hospital</v>
      </c>
      <c r="D1173" s="99" t="s">
        <v>94</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CARTERA DE SERVICIOS</v>
      </c>
      <c r="C1174" s="85" t="str" cm="1">
        <f t="array" ref="C1174">IFERROR(INDEX('03.Muestra'!$F$8:$F$42,SMALL(IF("Página Web"='03.Muestra'!$D$8:$D$42,ROW('03.Muestra'!$F$8:$F$42)-MIN(ROW('03.Muestra'!$D$8:$D$42))+1,""),ROW()-1158)),"")</f>
        <v>https://www.comunidad.madrid/hospital/santacristina/nosotros/cartera-servicios</v>
      </c>
      <c r="D1174" s="99" t="s">
        <v>94</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CONTACTO</v>
      </c>
      <c r="C1175" s="85" t="str" cm="1">
        <f t="array" ref="C1175">IFERROR(INDEX('03.Muestra'!$F$8:$F$42,SMALL(IF("Página Web"='03.Muestra'!$D$8:$D$42,ROW('03.Muestra'!$F$8:$F$42)-MIN(ROW('03.Muestra'!$D$8:$D$42))+1,""),ROW()-1158)),"")</f>
        <v>https://www.comunidad.madrid/hospital/santacristina/comunicacion/contacto</v>
      </c>
      <c r="D1175" s="99" t="s">
        <v>94</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ACCESIBILIDAD</v>
      </c>
      <c r="C1176" s="85" t="str" cm="1">
        <f t="array" ref="C1176">IFERROR(INDEX('03.Muestra'!$F$8:$F$42,SMALL(IF("Página Web"='03.Muestra'!$D$8:$D$42,ROW('03.Muestra'!$F$8:$F$42)-MIN(ROW('03.Muestra'!$D$8:$D$42))+1,""),ROW()-1158)),"")</f>
        <v>https://www.comunidad.madrid/hospital/santacristina/declaracion-accesibilidad</v>
      </c>
      <c r="D1176" s="99" t="s">
        <v>94</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LEGAL</v>
      </c>
      <c r="C1177" s="85" t="str" cm="1">
        <f t="array" ref="C1177">IFERROR(INDEX('03.Muestra'!$F$8:$F$42,SMALL(IF("Página Web"='03.Muestra'!$D$8:$D$42,ROW('03.Muestra'!$F$8:$F$42)-MIN(ROW('03.Muestra'!$D$8:$D$42))+1,""),ROW()-1158)),"")</f>
        <v>https://www.comunidad.madrid/hospital/santacristina/ciudadanos/aviso-legal-privacidad</v>
      </c>
      <c r="D1177" s="99" t="s">
        <v>94</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MAPA WEB</v>
      </c>
      <c r="C1178" s="85" t="str" cm="1">
        <f t="array" ref="C1178">IFERROR(INDEX('03.Muestra'!$F$8:$F$42,SMALL(IF("Página Web"='03.Muestra'!$D$8:$D$42,ROW('03.Muestra'!$F$8:$F$42)-MIN(ROW('03.Muestra'!$D$8:$D$42))+1,""),ROW()-1158)),"")</f>
        <v>https://www.comunidad.madrid/hospital/santacristina/sitemap</v>
      </c>
      <c r="D1178" s="99" t="s">
        <v>94</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PRINCIPAL</v>
      </c>
      <c r="C1197" s="85" t="str" cm="1">
        <f t="array" ref="C1197">IFERROR(INDEX('03.Muestra'!$F$8:$F$42,SMALL(IF("Página Web"='03.Muestra'!$D$8:$D$42,ROW('03.Muestra'!$F$8:$F$42)-MIN(ROW('03.Muestra'!$D$8:$D$42))+1,""),ROW()-1196)),"")</f>
        <v>https://www.comunidad.madrid/hospital/santacristina/</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https://www.comunidad.madrid/hospital/santacristina/ciudadanos</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20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https://www.comunidad.madrid/hospital/santacristina/profesionales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COMUNICACIÓN</v>
      </c>
      <c r="C1200" s="85" t="str" cm="1">
        <f t="array" ref="C1200">IFERROR(INDEX('03.Muestra'!$F$8:$F$42,SMALL(IF("Página Web"='03.Muestra'!$D$8:$D$42,ROW('03.Muestra'!$F$8:$F$42)-MIN(ROW('03.Muestra'!$D$8:$D$42))+1,""),ROW()-1196)),"")</f>
        <v>https://www.comunidad.madrid/hospital/santacristina/comunicacion</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https://www.comunidad.madrid/hospital/santacristina/nosotros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BUSCADOR</v>
      </c>
      <c r="C1202" s="85" t="str" cm="1">
        <f t="array" ref="C1202">IFERROR(INDEX('03.Muestra'!$F$8:$F$42,SMALL(IF("Página Web"='03.Muestra'!$D$8:$D$42,ROW('03.Muestra'!$F$8:$F$42)-MIN(ROW('03.Muestra'!$D$8:$D$42))+1,""),ROW()-1196)),"")</f>
        <v>https://www.comunidad.madrid/hospital/santacristina/buscar?search_api_fulltext=&amp;nombre=</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ATENCIÓN AL PACIENTE</v>
      </c>
      <c r="C1203" s="85" t="str" cm="1">
        <f t="array" ref="C1203">IFERROR(INDEX('03.Muestra'!$F$8:$F$42,SMALL(IF("Página Web"='03.Muestra'!$D$8:$D$42,ROW('03.Muestra'!$F$8:$F$42)-MIN(ROW('03.Muestra'!$D$8:$D$42))+1,""),ROW()-1196)),"")</f>
        <v>https://www.comunidad.madrid/hospital/santacristina/ciudadanos/atencion-paciente</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ATENCIÓN ESPIRITUAL</v>
      </c>
      <c r="C1204" s="85" t="str" cm="1">
        <f t="array" ref="C1204">IFERROR(INDEX('03.Muestra'!$F$8:$F$42,SMALL(IF("Página Web"='03.Muestra'!$D$8:$D$42,ROW('03.Muestra'!$F$8:$F$42)-MIN(ROW('03.Muestra'!$D$8:$D$42))+1,""),ROW()-1196)),"")</f>
        <v>https://www.comunidad.madrid/hospital/santacristina/ciudadanos/atencion-espiritual-religiosa</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LOCALIZACIÓN Y ACCESO</v>
      </c>
      <c r="C1205" s="85" t="str" cm="1">
        <f t="array" ref="C1205">IFERROR(INDEX('03.Muestra'!$F$8:$F$42,SMALL(IF("Página Web"='03.Muestra'!$D$8:$D$42,ROW('03.Muestra'!$F$8:$F$42)-MIN(ROW('03.Muestra'!$D$8:$D$42))+1,""),ROW()-1196)),"")</f>
        <v>https://www.comunidad.madrid/hospital/santacristina/ciudadanos/localizacion-acceso</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GUÍAS DE USUARIO</v>
      </c>
      <c r="C1206" s="85" t="str" cm="1">
        <f t="array" ref="C1206">IFERROR(INDEX('03.Muestra'!$F$8:$F$42,SMALL(IF("Página Web"='03.Muestra'!$D$8:$D$42,ROW('03.Muestra'!$F$8:$F$42)-MIN(ROW('03.Muestra'!$D$8:$D$42))+1,""),ROW()-1196)),"")</f>
        <v>https://www.comunidad.madrid/hospital/santacristina/ciudadanos/guias-usuario</v>
      </c>
      <c r="D1206" s="99" t="s">
        <v>94</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SERVICIOS QUIRÚRGICOS</v>
      </c>
      <c r="C1207" s="85" t="str" cm="1">
        <f t="array" ref="C1207">IFERROR(INDEX('03.Muestra'!$F$8:$F$42,SMALL(IF("Página Web"='03.Muestra'!$D$8:$D$42,ROW('03.Muestra'!$F$8:$F$42)-MIN(ROW('03.Muestra'!$D$8:$D$42))+1,""),ROW()-1196)),"")</f>
        <v>https://www.comunidad.madrid/hospital/santacristina/profesionales/servicios-quirurgicos-0</v>
      </c>
      <c r="D1207" s="99" t="s">
        <v>94</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INVESTIGACIÓN</v>
      </c>
      <c r="C1208" s="85" t="str" cm="1">
        <f t="array" ref="C1208">IFERROR(INDEX('03.Muestra'!$F$8:$F$42,SMALL(IF("Página Web"='03.Muestra'!$D$8:$D$42,ROW('03.Muestra'!$F$8:$F$42)-MIN(ROW('03.Muestra'!$D$8:$D$42))+1,""),ROW()-1196)),"")</f>
        <v>https://www.comunidad.madrid/hospital/santacristina/profesionales/investigacion-0</v>
      </c>
      <c r="D1208" s="99" t="s">
        <v>94</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NOTICIAS</v>
      </c>
      <c r="C1209" s="85" t="str" cm="1">
        <f t="array" ref="C1209">IFERROR(INDEX('03.Muestra'!$F$8:$F$42,SMALL(IF("Página Web"='03.Muestra'!$D$8:$D$42,ROW('03.Muestra'!$F$8:$F$42)-MIN(ROW('03.Muestra'!$D$8:$D$42))+1,""),ROW()-1196)),"")</f>
        <v>https://www.comunidad.madrid/hospital/santacristina/comunicacion/noticias</v>
      </c>
      <c r="D1209" s="99" t="s">
        <v>94</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ACTOS DEL CENTENARIO</v>
      </c>
      <c r="C1210" s="85" t="str" cm="1">
        <f t="array" ref="C1210">IFERROR(INDEX('03.Muestra'!$F$8:$F$42,SMALL(IF("Página Web"='03.Muestra'!$D$8:$D$42,ROW('03.Muestra'!$F$8:$F$42)-MIN(ROW('03.Muestra'!$D$8:$D$42))+1,""),ROW()-1196)),"")</f>
        <v>https://www.comunidad.madrid/hospital/santacristina/nosotros/actos-centenario</v>
      </c>
      <c r="D1210" s="99" t="s">
        <v>94</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ACCESIBILIDAD HOSPITAL</v>
      </c>
      <c r="C1211" s="85" t="str" cm="1">
        <f t="array" ref="C1211">IFERROR(INDEX('03.Muestra'!$F$8:$F$42,SMALL(IF("Página Web"='03.Muestra'!$D$8:$D$42,ROW('03.Muestra'!$F$8:$F$42)-MIN(ROW('03.Muestra'!$D$8:$D$42))+1,""),ROW()-1196)),"")</f>
        <v>https://www.comunidad.madrid/hospital/santacristina/nosotros/accesibilidad-hospital</v>
      </c>
      <c r="D1211" s="99" t="s">
        <v>94</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CARTERA DE SERVICIOS</v>
      </c>
      <c r="C1212" s="85" t="str" cm="1">
        <f t="array" ref="C1212">IFERROR(INDEX('03.Muestra'!$F$8:$F$42,SMALL(IF("Página Web"='03.Muestra'!$D$8:$D$42,ROW('03.Muestra'!$F$8:$F$42)-MIN(ROW('03.Muestra'!$D$8:$D$42))+1,""),ROW()-1196)),"")</f>
        <v>https://www.comunidad.madrid/hospital/santacristina/nosotros/cartera-servicios</v>
      </c>
      <c r="D1212" s="99" t="s">
        <v>94</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CONTACTO</v>
      </c>
      <c r="C1213" s="85" t="str" cm="1">
        <f t="array" ref="C1213">IFERROR(INDEX('03.Muestra'!$F$8:$F$42,SMALL(IF("Página Web"='03.Muestra'!$D$8:$D$42,ROW('03.Muestra'!$F$8:$F$42)-MIN(ROW('03.Muestra'!$D$8:$D$42))+1,""),ROW()-1196)),"")</f>
        <v>https://www.comunidad.madrid/hospital/santacristina/comunicacion/contacto</v>
      </c>
      <c r="D1213" s="99" t="s">
        <v>94</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ACCESIBILIDAD</v>
      </c>
      <c r="C1214" s="85" t="str" cm="1">
        <f t="array" ref="C1214">IFERROR(INDEX('03.Muestra'!$F$8:$F$42,SMALL(IF("Página Web"='03.Muestra'!$D$8:$D$42,ROW('03.Muestra'!$F$8:$F$42)-MIN(ROW('03.Muestra'!$D$8:$D$42))+1,""),ROW()-1196)),"")</f>
        <v>https://www.comunidad.madrid/hospital/santacristina/declaracion-accesibilidad</v>
      </c>
      <c r="D1214" s="99" t="s">
        <v>94</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LEGAL</v>
      </c>
      <c r="C1215" s="85" t="str" cm="1">
        <f t="array" ref="C1215">IFERROR(INDEX('03.Muestra'!$F$8:$F$42,SMALL(IF("Página Web"='03.Muestra'!$D$8:$D$42,ROW('03.Muestra'!$F$8:$F$42)-MIN(ROW('03.Muestra'!$D$8:$D$42))+1,""),ROW()-1196)),"")</f>
        <v>https://www.comunidad.madrid/hospital/santacristina/ciudadanos/aviso-legal-privacidad</v>
      </c>
      <c r="D1215" s="99" t="s">
        <v>94</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MAPA WEB</v>
      </c>
      <c r="C1216" s="85" t="str" cm="1">
        <f t="array" ref="C1216">IFERROR(INDEX('03.Muestra'!$F$8:$F$42,SMALL(IF("Página Web"='03.Muestra'!$D$8:$D$42,ROW('03.Muestra'!$F$8:$F$42)-MIN(ROW('03.Muestra'!$D$8:$D$42))+1,""),ROW()-1196)),"")</f>
        <v>https://www.comunidad.madrid/hospital/santacristina/sitemap</v>
      </c>
      <c r="D1216" s="99" t="s">
        <v>94</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PRINCIPAL</v>
      </c>
      <c r="C1235" s="85" t="str" cm="1">
        <f t="array" ref="C1235">IFERROR(INDEX('03.Muestra'!$F$8:$F$42,SMALL(IF("Página Web"='03.Muestra'!$D$8:$D$42,ROW('03.Muestra'!$F$8:$F$42)-MIN(ROW('03.Muestra'!$D$8:$D$42))+1,""),ROW()-1234)),"")</f>
        <v>https://www.comunidad.madrid/hospital/santacristina/</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https://www.comunidad.madrid/hospital/santacristina/ciudadanos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https://www.comunidad.madrid/hospital/santacristina/profesionales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COMUNICACIÓN</v>
      </c>
      <c r="C1238" s="85" t="str" cm="1">
        <f t="array" ref="C1238">IFERROR(INDEX('03.Muestra'!$F$8:$F$42,SMALL(IF("Página Web"='03.Muestra'!$D$8:$D$42,ROW('03.Muestra'!$F$8:$F$42)-MIN(ROW('03.Muestra'!$D$8:$D$42))+1,""),ROW()-1234)),"")</f>
        <v>https://www.comunidad.madrid/hospital/santacristina/comunicacion</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https://www.comunidad.madrid/hospital/santacristina/nosotros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BUSCADOR</v>
      </c>
      <c r="C1240" s="85" t="str" cm="1">
        <f t="array" ref="C1240">IFERROR(INDEX('03.Muestra'!$F$8:$F$42,SMALL(IF("Página Web"='03.Muestra'!$D$8:$D$42,ROW('03.Muestra'!$F$8:$F$42)-MIN(ROW('03.Muestra'!$D$8:$D$42))+1,""),ROW()-1234)),"")</f>
        <v>https://www.comunidad.madrid/hospital/santacristina/buscar?search_api_fulltext=&amp;nombre=</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ATENCIÓN AL PACIENTE</v>
      </c>
      <c r="C1241" s="85" t="str" cm="1">
        <f t="array" ref="C1241">IFERROR(INDEX('03.Muestra'!$F$8:$F$42,SMALL(IF("Página Web"='03.Muestra'!$D$8:$D$42,ROW('03.Muestra'!$F$8:$F$42)-MIN(ROW('03.Muestra'!$D$8:$D$42))+1,""),ROW()-1234)),"")</f>
        <v>https://www.comunidad.madrid/hospital/santacristina/ciudadanos/atencion-paciente</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ATENCIÓN ESPIRITUAL</v>
      </c>
      <c r="C1242" s="85" t="str" cm="1">
        <f t="array" ref="C1242">IFERROR(INDEX('03.Muestra'!$F$8:$F$42,SMALL(IF("Página Web"='03.Muestra'!$D$8:$D$42,ROW('03.Muestra'!$F$8:$F$42)-MIN(ROW('03.Muestra'!$D$8:$D$42))+1,""),ROW()-1234)),"")</f>
        <v>https://www.comunidad.madrid/hospital/santacristina/ciudadanos/atencion-espiritual-religiosa</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LOCALIZACIÓN Y ACCESO</v>
      </c>
      <c r="C1243" s="85" t="str" cm="1">
        <f t="array" ref="C1243">IFERROR(INDEX('03.Muestra'!$F$8:$F$42,SMALL(IF("Página Web"='03.Muestra'!$D$8:$D$42,ROW('03.Muestra'!$F$8:$F$42)-MIN(ROW('03.Muestra'!$D$8:$D$42))+1,""),ROW()-1234)),"")</f>
        <v>https://www.comunidad.madrid/hospital/santacristina/ciudadanos/localizacion-acceso</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GUÍAS DE USUARIO</v>
      </c>
      <c r="C1244" s="85" t="str" cm="1">
        <f t="array" ref="C1244">IFERROR(INDEX('03.Muestra'!$F$8:$F$42,SMALL(IF("Página Web"='03.Muestra'!$D$8:$D$42,ROW('03.Muestra'!$F$8:$F$42)-MIN(ROW('03.Muestra'!$D$8:$D$42))+1,""),ROW()-1234)),"")</f>
        <v>https://www.comunidad.madrid/hospital/santacristina/ciudadanos/guias-usuario</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SERVICIOS QUIRÚRGICOS</v>
      </c>
      <c r="C1245" s="85" t="str" cm="1">
        <f t="array" ref="C1245">IFERROR(INDEX('03.Muestra'!$F$8:$F$42,SMALL(IF("Página Web"='03.Muestra'!$D$8:$D$42,ROW('03.Muestra'!$F$8:$F$42)-MIN(ROW('03.Muestra'!$D$8:$D$42))+1,""),ROW()-1234)),"")</f>
        <v>https://www.comunidad.madrid/hospital/santacristina/profesionales/servicios-quirurgicos-0</v>
      </c>
      <c r="D1245" s="99" t="s">
        <v>104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INVESTIGACIÓN</v>
      </c>
      <c r="C1246" s="85" t="str" cm="1">
        <f t="array" ref="C1246">IFERROR(INDEX('03.Muestra'!$F$8:$F$42,SMALL(IF("Página Web"='03.Muestra'!$D$8:$D$42,ROW('03.Muestra'!$F$8:$F$42)-MIN(ROW('03.Muestra'!$D$8:$D$42))+1,""),ROW()-1234)),"")</f>
        <v>https://www.comunidad.madrid/hospital/santacristina/profesionales/investigacion-0</v>
      </c>
      <c r="D1246" s="99" t="s">
        <v>104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NOTICIAS</v>
      </c>
      <c r="C1247" s="85" t="str" cm="1">
        <f t="array" ref="C1247">IFERROR(INDEX('03.Muestra'!$F$8:$F$42,SMALL(IF("Página Web"='03.Muestra'!$D$8:$D$42,ROW('03.Muestra'!$F$8:$F$42)-MIN(ROW('03.Muestra'!$D$8:$D$42))+1,""),ROW()-1234)),"")</f>
        <v>https://www.comunidad.madrid/hospital/santacristina/comunicacion/noticias</v>
      </c>
      <c r="D1247" s="99" t="s">
        <v>104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ACTOS DEL CENTENARIO</v>
      </c>
      <c r="C1248" s="85" t="str" cm="1">
        <f t="array" ref="C1248">IFERROR(INDEX('03.Muestra'!$F$8:$F$42,SMALL(IF("Página Web"='03.Muestra'!$D$8:$D$42,ROW('03.Muestra'!$F$8:$F$42)-MIN(ROW('03.Muestra'!$D$8:$D$42))+1,""),ROW()-1234)),"")</f>
        <v>https://www.comunidad.madrid/hospital/santacristina/nosotros/actos-centenario</v>
      </c>
      <c r="D1248" s="99" t="s">
        <v>104</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ACCESIBILIDAD HOSPITAL</v>
      </c>
      <c r="C1249" s="85" t="str" cm="1">
        <f t="array" ref="C1249">IFERROR(INDEX('03.Muestra'!$F$8:$F$42,SMALL(IF("Página Web"='03.Muestra'!$D$8:$D$42,ROW('03.Muestra'!$F$8:$F$42)-MIN(ROW('03.Muestra'!$D$8:$D$42))+1,""),ROW()-1234)),"")</f>
        <v>https://www.comunidad.madrid/hospital/santacristina/nosotros/accesibilidad-hospital</v>
      </c>
      <c r="D1249" s="99" t="s">
        <v>104</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CARTERA DE SERVICIOS</v>
      </c>
      <c r="C1250" s="85" t="str" cm="1">
        <f t="array" ref="C1250">IFERROR(INDEX('03.Muestra'!$F$8:$F$42,SMALL(IF("Página Web"='03.Muestra'!$D$8:$D$42,ROW('03.Muestra'!$F$8:$F$42)-MIN(ROW('03.Muestra'!$D$8:$D$42))+1,""),ROW()-1234)),"")</f>
        <v>https://www.comunidad.madrid/hospital/santacristina/nosotros/cartera-servicios</v>
      </c>
      <c r="D1250" s="99" t="s">
        <v>104</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CONTACTO</v>
      </c>
      <c r="C1251" s="85" t="str" cm="1">
        <f t="array" ref="C1251">IFERROR(INDEX('03.Muestra'!$F$8:$F$42,SMALL(IF("Página Web"='03.Muestra'!$D$8:$D$42,ROW('03.Muestra'!$F$8:$F$42)-MIN(ROW('03.Muestra'!$D$8:$D$42))+1,""),ROW()-1234)),"")</f>
        <v>https://www.comunidad.madrid/hospital/santacristina/comunicacion/contacto</v>
      </c>
      <c r="D1251" s="99" t="s">
        <v>104</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ACCESIBILIDAD</v>
      </c>
      <c r="C1252" s="85" t="str" cm="1">
        <f t="array" ref="C1252">IFERROR(INDEX('03.Muestra'!$F$8:$F$42,SMALL(IF("Página Web"='03.Muestra'!$D$8:$D$42,ROW('03.Muestra'!$F$8:$F$42)-MIN(ROW('03.Muestra'!$D$8:$D$42))+1,""),ROW()-1234)),"")</f>
        <v>https://www.comunidad.madrid/hospital/santacristina/declaracion-accesibilidad</v>
      </c>
      <c r="D1252" s="99" t="s">
        <v>104</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LEGAL</v>
      </c>
      <c r="C1253" s="85" t="str" cm="1">
        <f t="array" ref="C1253">IFERROR(INDEX('03.Muestra'!$F$8:$F$42,SMALL(IF("Página Web"='03.Muestra'!$D$8:$D$42,ROW('03.Muestra'!$F$8:$F$42)-MIN(ROW('03.Muestra'!$D$8:$D$42))+1,""),ROW()-1234)),"")</f>
        <v>https://www.comunidad.madrid/hospital/santacristina/ciudadanos/aviso-legal-privacidad</v>
      </c>
      <c r="D1253" s="99" t="s">
        <v>104</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MAPA WEB</v>
      </c>
      <c r="C1254" s="85" t="str" cm="1">
        <f t="array" ref="C1254">IFERROR(INDEX('03.Muestra'!$F$8:$F$42,SMALL(IF("Página Web"='03.Muestra'!$D$8:$D$42,ROW('03.Muestra'!$F$8:$F$42)-MIN(ROW('03.Muestra'!$D$8:$D$42))+1,""),ROW()-1234)),"")</f>
        <v>https://www.comunidad.madrid/hospital/santacristina/sitemap</v>
      </c>
      <c r="D1254" s="99" t="s">
        <v>104</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PRINCIPAL</v>
      </c>
      <c r="C1273" s="85" t="str" cm="1">
        <f t="array" ref="C1273">IFERROR(INDEX('03.Muestra'!$F$8:$F$42,SMALL(IF("Página Web"='03.Muestra'!$D$8:$D$42,ROW('03.Muestra'!$F$8:$F$42)-MIN(ROW('03.Muestra'!$D$8:$D$42))+1,""),ROW()-1272)),"")</f>
        <v>https://www.comunidad.madrid/hospital/santacristina/</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https://www.comunidad.madrid/hospital/santacristina/ciudadanos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https://www.comunidad.madrid/hospital/santacristina/profesionales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COMUNICACIÓN</v>
      </c>
      <c r="C1276" s="85" t="str" cm="1">
        <f t="array" ref="C1276">IFERROR(INDEX('03.Muestra'!$F$8:$F$42,SMALL(IF("Página Web"='03.Muestra'!$D$8:$D$42,ROW('03.Muestra'!$F$8:$F$42)-MIN(ROW('03.Muestra'!$D$8:$D$42))+1,""),ROW()-1272)),"")</f>
        <v>https://www.comunidad.madrid/hospital/santacristina/comunicacion</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https://www.comunidad.madrid/hospital/santacristina/nosotros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BUSCADOR</v>
      </c>
      <c r="C1278" s="85" t="str" cm="1">
        <f t="array" ref="C1278">IFERROR(INDEX('03.Muestra'!$F$8:$F$42,SMALL(IF("Página Web"='03.Muestra'!$D$8:$D$42,ROW('03.Muestra'!$F$8:$F$42)-MIN(ROW('03.Muestra'!$D$8:$D$42))+1,""),ROW()-1272)),"")</f>
        <v>https://www.comunidad.madrid/hospital/santacristina/buscar?search_api_fulltext=&amp;nombre=</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ATENCIÓN AL PACIENTE</v>
      </c>
      <c r="C1279" s="85" t="str" cm="1">
        <f t="array" ref="C1279">IFERROR(INDEX('03.Muestra'!$F$8:$F$42,SMALL(IF("Página Web"='03.Muestra'!$D$8:$D$42,ROW('03.Muestra'!$F$8:$F$42)-MIN(ROW('03.Muestra'!$D$8:$D$42))+1,""),ROW()-1272)),"")</f>
        <v>https://www.comunidad.madrid/hospital/santacristina/ciudadanos/atencion-paciente</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ATENCIÓN ESPIRITUAL</v>
      </c>
      <c r="C1280" s="85" t="str" cm="1">
        <f t="array" ref="C1280">IFERROR(INDEX('03.Muestra'!$F$8:$F$42,SMALL(IF("Página Web"='03.Muestra'!$D$8:$D$42,ROW('03.Muestra'!$F$8:$F$42)-MIN(ROW('03.Muestra'!$D$8:$D$42))+1,""),ROW()-1272)),"")</f>
        <v>https://www.comunidad.madrid/hospital/santacristina/ciudadanos/atencion-espiritual-religiosa</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LOCALIZACIÓN Y ACCESO</v>
      </c>
      <c r="C1281" s="85" t="str" cm="1">
        <f t="array" ref="C1281">IFERROR(INDEX('03.Muestra'!$F$8:$F$42,SMALL(IF("Página Web"='03.Muestra'!$D$8:$D$42,ROW('03.Muestra'!$F$8:$F$42)-MIN(ROW('03.Muestra'!$D$8:$D$42))+1,""),ROW()-1272)),"")</f>
        <v>https://www.comunidad.madrid/hospital/santacristina/ciudadanos/localizacion-acceso</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GUÍAS DE USUARIO</v>
      </c>
      <c r="C1282" s="85" t="str" cm="1">
        <f t="array" ref="C1282">IFERROR(INDEX('03.Muestra'!$F$8:$F$42,SMALL(IF("Página Web"='03.Muestra'!$D$8:$D$42,ROW('03.Muestra'!$F$8:$F$42)-MIN(ROW('03.Muestra'!$D$8:$D$42))+1,""),ROW()-1272)),"")</f>
        <v>https://www.comunidad.madrid/hospital/santacristina/ciudadanos/guias-usuario</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SERVICIOS QUIRÚRGICOS</v>
      </c>
      <c r="C1283" s="85" t="str" cm="1">
        <f t="array" ref="C1283">IFERROR(INDEX('03.Muestra'!$F$8:$F$42,SMALL(IF("Página Web"='03.Muestra'!$D$8:$D$42,ROW('03.Muestra'!$F$8:$F$42)-MIN(ROW('03.Muestra'!$D$8:$D$42))+1,""),ROW()-1272)),"")</f>
        <v>https://www.comunidad.madrid/hospital/santacristina/profesionales/servicios-quirurgicos-0</v>
      </c>
      <c r="D1283" s="99" t="s">
        <v>92</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INVESTIGACIÓN</v>
      </c>
      <c r="C1284" s="85" t="str" cm="1">
        <f t="array" ref="C1284">IFERROR(INDEX('03.Muestra'!$F$8:$F$42,SMALL(IF("Página Web"='03.Muestra'!$D$8:$D$42,ROW('03.Muestra'!$F$8:$F$42)-MIN(ROW('03.Muestra'!$D$8:$D$42))+1,""),ROW()-1272)),"")</f>
        <v>https://www.comunidad.madrid/hospital/santacristina/profesionales/investigacion-0</v>
      </c>
      <c r="D1284" s="99" t="s">
        <v>92</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NOTICIAS</v>
      </c>
      <c r="C1285" s="85" t="str" cm="1">
        <f t="array" ref="C1285">IFERROR(INDEX('03.Muestra'!$F$8:$F$42,SMALL(IF("Página Web"='03.Muestra'!$D$8:$D$42,ROW('03.Muestra'!$F$8:$F$42)-MIN(ROW('03.Muestra'!$D$8:$D$42))+1,""),ROW()-1272)),"")</f>
        <v>https://www.comunidad.madrid/hospital/santacristina/comunicacion/noticias</v>
      </c>
      <c r="D1285" s="99" t="s">
        <v>92</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ACTOS DEL CENTENARIO</v>
      </c>
      <c r="C1286" s="85" t="str" cm="1">
        <f t="array" ref="C1286">IFERROR(INDEX('03.Muestra'!$F$8:$F$42,SMALL(IF("Página Web"='03.Muestra'!$D$8:$D$42,ROW('03.Muestra'!$F$8:$F$42)-MIN(ROW('03.Muestra'!$D$8:$D$42))+1,""),ROW()-1272)),"")</f>
        <v>https://www.comunidad.madrid/hospital/santacristina/nosotros/actos-centenario</v>
      </c>
      <c r="D1286" s="99" t="s">
        <v>92</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ACCESIBILIDAD HOSPITAL</v>
      </c>
      <c r="C1287" s="85" t="str" cm="1">
        <f t="array" ref="C1287">IFERROR(INDEX('03.Muestra'!$F$8:$F$42,SMALL(IF("Página Web"='03.Muestra'!$D$8:$D$42,ROW('03.Muestra'!$F$8:$F$42)-MIN(ROW('03.Muestra'!$D$8:$D$42))+1,""),ROW()-1272)),"")</f>
        <v>https://www.comunidad.madrid/hospital/santacristina/nosotros/accesibilidad-hospital</v>
      </c>
      <c r="D1287" s="99" t="s">
        <v>92</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CARTERA DE SERVICIOS</v>
      </c>
      <c r="C1288" s="85" t="str" cm="1">
        <f t="array" ref="C1288">IFERROR(INDEX('03.Muestra'!$F$8:$F$42,SMALL(IF("Página Web"='03.Muestra'!$D$8:$D$42,ROW('03.Muestra'!$F$8:$F$42)-MIN(ROW('03.Muestra'!$D$8:$D$42))+1,""),ROW()-1272)),"")</f>
        <v>https://www.comunidad.madrid/hospital/santacristina/nosotros/cartera-servicios</v>
      </c>
      <c r="D1288" s="99" t="s">
        <v>92</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CONTACTO</v>
      </c>
      <c r="C1289" s="85" t="str" cm="1">
        <f t="array" ref="C1289">IFERROR(INDEX('03.Muestra'!$F$8:$F$42,SMALL(IF("Página Web"='03.Muestra'!$D$8:$D$42,ROW('03.Muestra'!$F$8:$F$42)-MIN(ROW('03.Muestra'!$D$8:$D$42))+1,""),ROW()-1272)),"")</f>
        <v>https://www.comunidad.madrid/hospital/santacristina/comunicacion/contacto</v>
      </c>
      <c r="D1289" s="99" t="s">
        <v>92</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ACCESIBILIDAD</v>
      </c>
      <c r="C1290" s="85" t="str" cm="1">
        <f t="array" ref="C1290">IFERROR(INDEX('03.Muestra'!$F$8:$F$42,SMALL(IF("Página Web"='03.Muestra'!$D$8:$D$42,ROW('03.Muestra'!$F$8:$F$42)-MIN(ROW('03.Muestra'!$D$8:$D$42))+1,""),ROW()-1272)),"")</f>
        <v>https://www.comunidad.madrid/hospital/santacristina/declaracion-accesibilidad</v>
      </c>
      <c r="D1290" s="99" t="s">
        <v>92</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LEGAL</v>
      </c>
      <c r="C1291" s="85" t="str" cm="1">
        <f t="array" ref="C1291">IFERROR(INDEX('03.Muestra'!$F$8:$F$42,SMALL(IF("Página Web"='03.Muestra'!$D$8:$D$42,ROW('03.Muestra'!$F$8:$F$42)-MIN(ROW('03.Muestra'!$D$8:$D$42))+1,""),ROW()-1272)),"")</f>
        <v>https://www.comunidad.madrid/hospital/santacristina/ciudadanos/aviso-legal-privacidad</v>
      </c>
      <c r="D1291" s="99" t="s">
        <v>92</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MAPA WEB</v>
      </c>
      <c r="C1292" s="85" t="str" cm="1">
        <f t="array" ref="C1292">IFERROR(INDEX('03.Muestra'!$F$8:$F$42,SMALL(IF("Página Web"='03.Muestra'!$D$8:$D$42,ROW('03.Muestra'!$F$8:$F$42)-MIN(ROW('03.Muestra'!$D$8:$D$42))+1,""),ROW()-1272)),"")</f>
        <v>https://www.comunidad.madrid/hospital/santacristina/sitemap</v>
      </c>
      <c r="D1292" s="99" t="s">
        <v>92</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PRINCIPAL</v>
      </c>
      <c r="C1311" s="85" t="str" cm="1">
        <f t="array" ref="C1311">IFERROR(INDEX('03.Muestra'!$F$8:$F$42,SMALL(IF("Página Web"='03.Muestra'!$D$8:$D$42,ROW('03.Muestra'!$F$8:$F$42)-MIN(ROW('03.Muestra'!$D$8:$D$42))+1,""),ROW()-1310)),"")</f>
        <v>https://www.comunidad.madrid/hospital/santacristina/</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https://www.comunidad.madrid/hospital/santacristina/ciudadanos</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20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https://www.comunidad.madrid/hospital/santacristina/profesionales</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COMUNICACIÓN</v>
      </c>
      <c r="C1314" s="85" t="str" cm="1">
        <f t="array" ref="C1314">IFERROR(INDEX('03.Muestra'!$F$8:$F$42,SMALL(IF("Página Web"='03.Muestra'!$D$8:$D$42,ROW('03.Muestra'!$F$8:$F$42)-MIN(ROW('03.Muestra'!$D$8:$D$42))+1,""),ROW()-1310)),"")</f>
        <v>https://www.comunidad.madrid/hospital/santacristina/comunicacion</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https://www.comunidad.madrid/hospital/santacristina/nosotros</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BUSCADOR</v>
      </c>
      <c r="C1316" s="85" t="str" cm="1">
        <f t="array" ref="C1316">IFERROR(INDEX('03.Muestra'!$F$8:$F$42,SMALL(IF("Página Web"='03.Muestra'!$D$8:$D$42,ROW('03.Muestra'!$F$8:$F$42)-MIN(ROW('03.Muestra'!$D$8:$D$42))+1,""),ROW()-1310)),"")</f>
        <v>https://www.comunidad.madrid/hospital/santacristina/buscar?search_api_fulltext=&amp;nombre=</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ATENCIÓN AL PACIENTE</v>
      </c>
      <c r="C1317" s="85" t="str" cm="1">
        <f t="array" ref="C1317">IFERROR(INDEX('03.Muestra'!$F$8:$F$42,SMALL(IF("Página Web"='03.Muestra'!$D$8:$D$42,ROW('03.Muestra'!$F$8:$F$42)-MIN(ROW('03.Muestra'!$D$8:$D$42))+1,""),ROW()-1310)),"")</f>
        <v>https://www.comunidad.madrid/hospital/santacristina/ciudadanos/atencion-paciente</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ATENCIÓN ESPIRITUAL</v>
      </c>
      <c r="C1318" s="85" t="str" cm="1">
        <f t="array" ref="C1318">IFERROR(INDEX('03.Muestra'!$F$8:$F$42,SMALL(IF("Página Web"='03.Muestra'!$D$8:$D$42,ROW('03.Muestra'!$F$8:$F$42)-MIN(ROW('03.Muestra'!$D$8:$D$42))+1,""),ROW()-1310)),"")</f>
        <v>https://www.comunidad.madrid/hospital/santacristina/ciudadanos/atencion-espiritual-religiosa</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LOCALIZACIÓN Y ACCESO</v>
      </c>
      <c r="C1319" s="85" t="str" cm="1">
        <f t="array" ref="C1319">IFERROR(INDEX('03.Muestra'!$F$8:$F$42,SMALL(IF("Página Web"='03.Muestra'!$D$8:$D$42,ROW('03.Muestra'!$F$8:$F$42)-MIN(ROW('03.Muestra'!$D$8:$D$42))+1,""),ROW()-1310)),"")</f>
        <v>https://www.comunidad.madrid/hospital/santacristina/ciudadanos/localizacion-acceso</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GUÍAS DE USUARIO</v>
      </c>
      <c r="C1320" s="85" t="str" cm="1">
        <f t="array" ref="C1320">IFERROR(INDEX('03.Muestra'!$F$8:$F$42,SMALL(IF("Página Web"='03.Muestra'!$D$8:$D$42,ROW('03.Muestra'!$F$8:$F$42)-MIN(ROW('03.Muestra'!$D$8:$D$42))+1,""),ROW()-1310)),"")</f>
        <v>https://www.comunidad.madrid/hospital/santacristina/ciudadanos/guias-usuario</v>
      </c>
      <c r="D1320" s="99" t="s">
        <v>94</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SERVICIOS QUIRÚRGICOS</v>
      </c>
      <c r="C1321" s="85" t="str" cm="1">
        <f t="array" ref="C1321">IFERROR(INDEX('03.Muestra'!$F$8:$F$42,SMALL(IF("Página Web"='03.Muestra'!$D$8:$D$42,ROW('03.Muestra'!$F$8:$F$42)-MIN(ROW('03.Muestra'!$D$8:$D$42))+1,""),ROW()-1310)),"")</f>
        <v>https://www.comunidad.madrid/hospital/santacristina/profesionales/servicios-quirurgicos-0</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INVESTIGACIÓN</v>
      </c>
      <c r="C1322" s="85" t="str" cm="1">
        <f t="array" ref="C1322">IFERROR(INDEX('03.Muestra'!$F$8:$F$42,SMALL(IF("Página Web"='03.Muestra'!$D$8:$D$42,ROW('03.Muestra'!$F$8:$F$42)-MIN(ROW('03.Muestra'!$D$8:$D$42))+1,""),ROW()-1310)),"")</f>
        <v>https://www.comunidad.madrid/hospital/santacristina/profesionales/investigacion-0</v>
      </c>
      <c r="D1322" s="99" t="s">
        <v>94</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NOTICIAS</v>
      </c>
      <c r="C1323" s="85" t="str" cm="1">
        <f t="array" ref="C1323">IFERROR(INDEX('03.Muestra'!$F$8:$F$42,SMALL(IF("Página Web"='03.Muestra'!$D$8:$D$42,ROW('03.Muestra'!$F$8:$F$42)-MIN(ROW('03.Muestra'!$D$8:$D$42))+1,""),ROW()-1310)),"")</f>
        <v>https://www.comunidad.madrid/hospital/santacristina/comunicacion/noticias</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ACTOS DEL CENTENARIO</v>
      </c>
      <c r="C1324" s="85" t="str" cm="1">
        <f t="array" ref="C1324">IFERROR(INDEX('03.Muestra'!$F$8:$F$42,SMALL(IF("Página Web"='03.Muestra'!$D$8:$D$42,ROW('03.Muestra'!$F$8:$F$42)-MIN(ROW('03.Muestra'!$D$8:$D$42))+1,""),ROW()-1310)),"")</f>
        <v>https://www.comunidad.madrid/hospital/santacristina/nosotros/actos-centenario</v>
      </c>
      <c r="D1324" s="99" t="s">
        <v>94</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ACCESIBILIDAD HOSPITAL</v>
      </c>
      <c r="C1325" s="85" t="str" cm="1">
        <f t="array" ref="C1325">IFERROR(INDEX('03.Muestra'!$F$8:$F$42,SMALL(IF("Página Web"='03.Muestra'!$D$8:$D$42,ROW('03.Muestra'!$F$8:$F$42)-MIN(ROW('03.Muestra'!$D$8:$D$42))+1,""),ROW()-1310)),"")</f>
        <v>https://www.comunidad.madrid/hospital/santacristina/nosotros/accesibilidad-hospital</v>
      </c>
      <c r="D1325" s="99" t="s">
        <v>94</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CARTERA DE SERVICIOS</v>
      </c>
      <c r="C1326" s="85" t="str" cm="1">
        <f t="array" ref="C1326">IFERROR(INDEX('03.Muestra'!$F$8:$F$42,SMALL(IF("Página Web"='03.Muestra'!$D$8:$D$42,ROW('03.Muestra'!$F$8:$F$42)-MIN(ROW('03.Muestra'!$D$8:$D$42))+1,""),ROW()-1310)),"")</f>
        <v>https://www.comunidad.madrid/hospital/santacristina/nosotros/cartera-servicios</v>
      </c>
      <c r="D1326" s="99" t="s">
        <v>94</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CONTACTO</v>
      </c>
      <c r="C1327" s="85" t="str" cm="1">
        <f t="array" ref="C1327">IFERROR(INDEX('03.Muestra'!$F$8:$F$42,SMALL(IF("Página Web"='03.Muestra'!$D$8:$D$42,ROW('03.Muestra'!$F$8:$F$42)-MIN(ROW('03.Muestra'!$D$8:$D$42))+1,""),ROW()-1310)),"")</f>
        <v>https://www.comunidad.madrid/hospital/santacristina/comunicacion/contacto</v>
      </c>
      <c r="D1327" s="99" t="s">
        <v>94</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ACCESIBILIDAD</v>
      </c>
      <c r="C1328" s="85" t="str" cm="1">
        <f t="array" ref="C1328">IFERROR(INDEX('03.Muestra'!$F$8:$F$42,SMALL(IF("Página Web"='03.Muestra'!$D$8:$D$42,ROW('03.Muestra'!$F$8:$F$42)-MIN(ROW('03.Muestra'!$D$8:$D$42))+1,""),ROW()-1310)),"")</f>
        <v>https://www.comunidad.madrid/hospital/santacristina/declaracion-accesibilidad</v>
      </c>
      <c r="D1328" s="99" t="s">
        <v>94</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LEGAL</v>
      </c>
      <c r="C1329" s="85" t="str" cm="1">
        <f t="array" ref="C1329">IFERROR(INDEX('03.Muestra'!$F$8:$F$42,SMALL(IF("Página Web"='03.Muestra'!$D$8:$D$42,ROW('03.Muestra'!$F$8:$F$42)-MIN(ROW('03.Muestra'!$D$8:$D$42))+1,""),ROW()-1310)),"")</f>
        <v>https://www.comunidad.madrid/hospital/santacristina/ciudadanos/aviso-legal-privacidad</v>
      </c>
      <c r="D1329" s="99" t="s">
        <v>94</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MAPA WEB</v>
      </c>
      <c r="C1330" s="85" t="str" cm="1">
        <f t="array" ref="C1330">IFERROR(INDEX('03.Muestra'!$F$8:$F$42,SMALL(IF("Página Web"='03.Muestra'!$D$8:$D$42,ROW('03.Muestra'!$F$8:$F$42)-MIN(ROW('03.Muestra'!$D$8:$D$42))+1,""),ROW()-1310)),"")</f>
        <v>https://www.comunidad.madrid/hospital/santacristina/sitemap</v>
      </c>
      <c r="D1330" s="99" t="s">
        <v>94</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PRINCIPAL</v>
      </c>
      <c r="C1349" s="85" t="str" cm="1">
        <f t="array" ref="C1349">IFERROR(INDEX('03.Muestra'!$F$8:$F$42,SMALL(IF("Página Web"='03.Muestra'!$D$8:$D$42,ROW('03.Muestra'!$F$8:$F$42)-MIN(ROW('03.Muestra'!$D$8:$D$42))+1,""),ROW()-1348)),"")</f>
        <v>https://www.comunidad.madrid/hospital/santacristina/</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https://www.comunidad.madrid/hospital/santacristina/ciudadanos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https://www.comunidad.madrid/hospital/santacristina/profesionales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COMUNICACIÓN</v>
      </c>
      <c r="C1352" s="85" t="str" cm="1">
        <f t="array" ref="C1352">IFERROR(INDEX('03.Muestra'!$F$8:$F$42,SMALL(IF("Página Web"='03.Muestra'!$D$8:$D$42,ROW('03.Muestra'!$F$8:$F$42)-MIN(ROW('03.Muestra'!$D$8:$D$42))+1,""),ROW()-1348)),"")</f>
        <v>https://www.comunidad.madrid/hospital/santacristina/comunicacion</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https://www.comunidad.madrid/hospital/santacristina/nosotros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BUSCADOR</v>
      </c>
      <c r="C1354" s="85" t="str" cm="1">
        <f t="array" ref="C1354">IFERROR(INDEX('03.Muestra'!$F$8:$F$42,SMALL(IF("Página Web"='03.Muestra'!$D$8:$D$42,ROW('03.Muestra'!$F$8:$F$42)-MIN(ROW('03.Muestra'!$D$8:$D$42))+1,""),ROW()-1348)),"")</f>
        <v>https://www.comunidad.madrid/hospital/santacristina/buscar?search_api_fulltext=&amp;nombre=</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ATENCIÓN AL PACIENTE</v>
      </c>
      <c r="C1355" s="85" t="str" cm="1">
        <f t="array" ref="C1355">IFERROR(INDEX('03.Muestra'!$F$8:$F$42,SMALL(IF("Página Web"='03.Muestra'!$D$8:$D$42,ROW('03.Muestra'!$F$8:$F$42)-MIN(ROW('03.Muestra'!$D$8:$D$42))+1,""),ROW()-1348)),"")</f>
        <v>https://www.comunidad.madrid/hospital/santacristina/ciudadanos/atencion-paciente</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ATENCIÓN ESPIRITUAL</v>
      </c>
      <c r="C1356" s="85" t="str" cm="1">
        <f t="array" ref="C1356">IFERROR(INDEX('03.Muestra'!$F$8:$F$42,SMALL(IF("Página Web"='03.Muestra'!$D$8:$D$42,ROW('03.Muestra'!$F$8:$F$42)-MIN(ROW('03.Muestra'!$D$8:$D$42))+1,""),ROW()-1348)),"")</f>
        <v>https://www.comunidad.madrid/hospital/santacristina/ciudadanos/atencion-espiritual-religiosa</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LOCALIZACIÓN Y ACCESO</v>
      </c>
      <c r="C1357" s="85" t="str" cm="1">
        <f t="array" ref="C1357">IFERROR(INDEX('03.Muestra'!$F$8:$F$42,SMALL(IF("Página Web"='03.Muestra'!$D$8:$D$42,ROW('03.Muestra'!$F$8:$F$42)-MIN(ROW('03.Muestra'!$D$8:$D$42))+1,""),ROW()-1348)),"")</f>
        <v>https://www.comunidad.madrid/hospital/santacristina/ciudadanos/localizacion-acceso</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GUÍAS DE USUARIO</v>
      </c>
      <c r="C1358" s="85" t="str" cm="1">
        <f t="array" ref="C1358">IFERROR(INDEX('03.Muestra'!$F$8:$F$42,SMALL(IF("Página Web"='03.Muestra'!$D$8:$D$42,ROW('03.Muestra'!$F$8:$F$42)-MIN(ROW('03.Muestra'!$D$8:$D$42))+1,""),ROW()-1348)),"")</f>
        <v>https://www.comunidad.madrid/hospital/santacristina/ciudadanos/guias-usuario</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SERVICIOS QUIRÚRGICOS</v>
      </c>
      <c r="C1359" s="85" t="str" cm="1">
        <f t="array" ref="C1359">IFERROR(INDEX('03.Muestra'!$F$8:$F$42,SMALL(IF("Página Web"='03.Muestra'!$D$8:$D$42,ROW('03.Muestra'!$F$8:$F$42)-MIN(ROW('03.Muestra'!$D$8:$D$42))+1,""),ROW()-1348)),"")</f>
        <v>https://www.comunidad.madrid/hospital/santacristina/profesionales/servicios-quirurgicos-0</v>
      </c>
      <c r="D1359" s="99" t="s">
        <v>104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INVESTIGACIÓN</v>
      </c>
      <c r="C1360" s="85" t="str" cm="1">
        <f t="array" ref="C1360">IFERROR(INDEX('03.Muestra'!$F$8:$F$42,SMALL(IF("Página Web"='03.Muestra'!$D$8:$D$42,ROW('03.Muestra'!$F$8:$F$42)-MIN(ROW('03.Muestra'!$D$8:$D$42))+1,""),ROW()-1348)),"")</f>
        <v>https://www.comunidad.madrid/hospital/santacristina/profesionales/investigacion-0</v>
      </c>
      <c r="D1360" s="99" t="s">
        <v>104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NOTICIAS</v>
      </c>
      <c r="C1361" s="85" t="str" cm="1">
        <f t="array" ref="C1361">IFERROR(INDEX('03.Muestra'!$F$8:$F$42,SMALL(IF("Página Web"='03.Muestra'!$D$8:$D$42,ROW('03.Muestra'!$F$8:$F$42)-MIN(ROW('03.Muestra'!$D$8:$D$42))+1,""),ROW()-1348)),"")</f>
        <v>https://www.comunidad.madrid/hospital/santacristina/comunicacion/noticias</v>
      </c>
      <c r="D1361" s="99" t="s">
        <v>104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ACTOS DEL CENTENARIO</v>
      </c>
      <c r="C1362" s="85" t="str" cm="1">
        <f t="array" ref="C1362">IFERROR(INDEX('03.Muestra'!$F$8:$F$42,SMALL(IF("Página Web"='03.Muestra'!$D$8:$D$42,ROW('03.Muestra'!$F$8:$F$42)-MIN(ROW('03.Muestra'!$D$8:$D$42))+1,""),ROW()-1348)),"")</f>
        <v>https://www.comunidad.madrid/hospital/santacristina/nosotros/actos-centenario</v>
      </c>
      <c r="D1362" s="99" t="s">
        <v>104</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ACCESIBILIDAD HOSPITAL</v>
      </c>
      <c r="C1363" s="85" t="str" cm="1">
        <f t="array" ref="C1363">IFERROR(INDEX('03.Muestra'!$F$8:$F$42,SMALL(IF("Página Web"='03.Muestra'!$D$8:$D$42,ROW('03.Muestra'!$F$8:$F$42)-MIN(ROW('03.Muestra'!$D$8:$D$42))+1,""),ROW()-1348)),"")</f>
        <v>https://www.comunidad.madrid/hospital/santacristina/nosotros/accesibilidad-hospital</v>
      </c>
      <c r="D1363" s="99" t="s">
        <v>104</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CARTERA DE SERVICIOS</v>
      </c>
      <c r="C1364" s="85" t="str" cm="1">
        <f t="array" ref="C1364">IFERROR(INDEX('03.Muestra'!$F$8:$F$42,SMALL(IF("Página Web"='03.Muestra'!$D$8:$D$42,ROW('03.Muestra'!$F$8:$F$42)-MIN(ROW('03.Muestra'!$D$8:$D$42))+1,""),ROW()-1348)),"")</f>
        <v>https://www.comunidad.madrid/hospital/santacristina/nosotros/cartera-servicios</v>
      </c>
      <c r="D1364" s="99" t="s">
        <v>104</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CONTACTO</v>
      </c>
      <c r="C1365" s="85" t="str" cm="1">
        <f t="array" ref="C1365">IFERROR(INDEX('03.Muestra'!$F$8:$F$42,SMALL(IF("Página Web"='03.Muestra'!$D$8:$D$42,ROW('03.Muestra'!$F$8:$F$42)-MIN(ROW('03.Muestra'!$D$8:$D$42))+1,""),ROW()-1348)),"")</f>
        <v>https://www.comunidad.madrid/hospital/santacristina/comunicacion/contacto</v>
      </c>
      <c r="D1365" s="99" t="s">
        <v>104</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ACCESIBILIDAD</v>
      </c>
      <c r="C1366" s="85" t="str" cm="1">
        <f t="array" ref="C1366">IFERROR(INDEX('03.Muestra'!$F$8:$F$42,SMALL(IF("Página Web"='03.Muestra'!$D$8:$D$42,ROW('03.Muestra'!$F$8:$F$42)-MIN(ROW('03.Muestra'!$D$8:$D$42))+1,""),ROW()-1348)),"")</f>
        <v>https://www.comunidad.madrid/hospital/santacristina/declaracion-accesibilidad</v>
      </c>
      <c r="D1366" s="99" t="s">
        <v>104</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LEGAL</v>
      </c>
      <c r="C1367" s="85" t="str" cm="1">
        <f t="array" ref="C1367">IFERROR(INDEX('03.Muestra'!$F$8:$F$42,SMALL(IF("Página Web"='03.Muestra'!$D$8:$D$42,ROW('03.Muestra'!$F$8:$F$42)-MIN(ROW('03.Muestra'!$D$8:$D$42))+1,""),ROW()-1348)),"")</f>
        <v>https://www.comunidad.madrid/hospital/santacristina/ciudadanos/aviso-legal-privacidad</v>
      </c>
      <c r="D1367" s="99" t="s">
        <v>104</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MAPA WEB</v>
      </c>
      <c r="C1368" s="85" t="str" cm="1">
        <f t="array" ref="C1368">IFERROR(INDEX('03.Muestra'!$F$8:$F$42,SMALL(IF("Página Web"='03.Muestra'!$D$8:$D$42,ROW('03.Muestra'!$F$8:$F$42)-MIN(ROW('03.Muestra'!$D$8:$D$42))+1,""),ROW()-1348)),"")</f>
        <v>https://www.comunidad.madrid/hospital/santacristina/sitemap</v>
      </c>
      <c r="D1368" s="99" t="s">
        <v>104</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PRINCIPAL</v>
      </c>
      <c r="C1387" s="85" t="str" cm="1">
        <f t="array" ref="C1387">IFERROR(INDEX('03.Muestra'!$F$8:$F$42,SMALL(IF("Página Web"='03.Muestra'!$D$8:$D$42,ROW('03.Muestra'!$F$8:$F$42)-MIN(ROW('03.Muestra'!$D$8:$D$42))+1,""),ROW()-1386)),"")</f>
        <v>https://www.comunidad.madrid/hospital/santacristina/</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https://www.comunidad.madrid/hospital/santacristina/ciudadanos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https://www.comunidad.madrid/hospital/santacristina/profesionales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COMUNICACIÓN</v>
      </c>
      <c r="C1390" s="85" t="str" cm="1">
        <f t="array" ref="C1390">IFERROR(INDEX('03.Muestra'!$F$8:$F$42,SMALL(IF("Página Web"='03.Muestra'!$D$8:$D$42,ROW('03.Muestra'!$F$8:$F$42)-MIN(ROW('03.Muestra'!$D$8:$D$42))+1,""),ROW()-1386)),"")</f>
        <v>https://www.comunidad.madrid/hospital/santacristina/comunicacion</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https://www.comunidad.madrid/hospital/santacristina/nosotros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BUSCADOR</v>
      </c>
      <c r="C1392" s="85" t="str" cm="1">
        <f t="array" ref="C1392">IFERROR(INDEX('03.Muestra'!$F$8:$F$42,SMALL(IF("Página Web"='03.Muestra'!$D$8:$D$42,ROW('03.Muestra'!$F$8:$F$42)-MIN(ROW('03.Muestra'!$D$8:$D$42))+1,""),ROW()-1386)),"")</f>
        <v>https://www.comunidad.madrid/hospital/santacristina/buscar?search_api_fulltext=&amp;nombre=</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ATENCIÓN AL PACIENTE</v>
      </c>
      <c r="C1393" s="85" t="str" cm="1">
        <f t="array" ref="C1393">IFERROR(INDEX('03.Muestra'!$F$8:$F$42,SMALL(IF("Página Web"='03.Muestra'!$D$8:$D$42,ROW('03.Muestra'!$F$8:$F$42)-MIN(ROW('03.Muestra'!$D$8:$D$42))+1,""),ROW()-1386)),"")</f>
        <v>https://www.comunidad.madrid/hospital/santacristina/ciudadanos/atencion-paciente</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ATENCIÓN ESPIRITUAL</v>
      </c>
      <c r="C1394" s="85" t="str" cm="1">
        <f t="array" ref="C1394">IFERROR(INDEX('03.Muestra'!$F$8:$F$42,SMALL(IF("Página Web"='03.Muestra'!$D$8:$D$42,ROW('03.Muestra'!$F$8:$F$42)-MIN(ROW('03.Muestra'!$D$8:$D$42))+1,""),ROW()-1386)),"")</f>
        <v>https://www.comunidad.madrid/hospital/santacristina/ciudadanos/atencion-espiritual-religiosa</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LOCALIZACIÓN Y ACCESO</v>
      </c>
      <c r="C1395" s="85" t="str" cm="1">
        <f t="array" ref="C1395">IFERROR(INDEX('03.Muestra'!$F$8:$F$42,SMALL(IF("Página Web"='03.Muestra'!$D$8:$D$42,ROW('03.Muestra'!$F$8:$F$42)-MIN(ROW('03.Muestra'!$D$8:$D$42))+1,""),ROW()-1386)),"")</f>
        <v>https://www.comunidad.madrid/hospital/santacristina/ciudadanos/localizacion-acceso</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GUÍAS DE USUARIO</v>
      </c>
      <c r="C1396" s="85" t="str" cm="1">
        <f t="array" ref="C1396">IFERROR(INDEX('03.Muestra'!$F$8:$F$42,SMALL(IF("Página Web"='03.Muestra'!$D$8:$D$42,ROW('03.Muestra'!$F$8:$F$42)-MIN(ROW('03.Muestra'!$D$8:$D$42))+1,""),ROW()-1386)),"")</f>
        <v>https://www.comunidad.madrid/hospital/santacristina/ciudadanos/guias-usuario</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SERVICIOS QUIRÚRGICOS</v>
      </c>
      <c r="C1397" s="85" t="str" cm="1">
        <f t="array" ref="C1397">IFERROR(INDEX('03.Muestra'!$F$8:$F$42,SMALL(IF("Página Web"='03.Muestra'!$D$8:$D$42,ROW('03.Muestra'!$F$8:$F$42)-MIN(ROW('03.Muestra'!$D$8:$D$42))+1,""),ROW()-1386)),"")</f>
        <v>https://www.comunidad.madrid/hospital/santacristina/profesionales/servicios-quirurgicos-0</v>
      </c>
      <c r="D1397" s="99" t="s">
        <v>92</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INVESTIGACIÓN</v>
      </c>
      <c r="C1398" s="85" t="str" cm="1">
        <f t="array" ref="C1398">IFERROR(INDEX('03.Muestra'!$F$8:$F$42,SMALL(IF("Página Web"='03.Muestra'!$D$8:$D$42,ROW('03.Muestra'!$F$8:$F$42)-MIN(ROW('03.Muestra'!$D$8:$D$42))+1,""),ROW()-1386)),"")</f>
        <v>https://www.comunidad.madrid/hospital/santacristina/profesionales/investigacion-0</v>
      </c>
      <c r="D1398" s="99" t="s">
        <v>92</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NOTICIAS</v>
      </c>
      <c r="C1399" s="85" t="str" cm="1">
        <f t="array" ref="C1399">IFERROR(INDEX('03.Muestra'!$F$8:$F$42,SMALL(IF("Página Web"='03.Muestra'!$D$8:$D$42,ROW('03.Muestra'!$F$8:$F$42)-MIN(ROW('03.Muestra'!$D$8:$D$42))+1,""),ROW()-1386)),"")</f>
        <v>https://www.comunidad.madrid/hospital/santacristina/comunicacion/noticias</v>
      </c>
      <c r="D1399" s="99" t="s">
        <v>92</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ACTOS DEL CENTENARIO</v>
      </c>
      <c r="C1400" s="85" t="str" cm="1">
        <f t="array" ref="C1400">IFERROR(INDEX('03.Muestra'!$F$8:$F$42,SMALL(IF("Página Web"='03.Muestra'!$D$8:$D$42,ROW('03.Muestra'!$F$8:$F$42)-MIN(ROW('03.Muestra'!$D$8:$D$42))+1,""),ROW()-1386)),"")</f>
        <v>https://www.comunidad.madrid/hospital/santacristina/nosotros/actos-centenario</v>
      </c>
      <c r="D1400" s="99" t="s">
        <v>92</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ACCESIBILIDAD HOSPITAL</v>
      </c>
      <c r="C1401" s="85" t="str" cm="1">
        <f t="array" ref="C1401">IFERROR(INDEX('03.Muestra'!$F$8:$F$42,SMALL(IF("Página Web"='03.Muestra'!$D$8:$D$42,ROW('03.Muestra'!$F$8:$F$42)-MIN(ROW('03.Muestra'!$D$8:$D$42))+1,""),ROW()-1386)),"")</f>
        <v>https://www.comunidad.madrid/hospital/santacristina/nosotros/accesibilidad-hospital</v>
      </c>
      <c r="D1401" s="99" t="s">
        <v>92</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CARTERA DE SERVICIOS</v>
      </c>
      <c r="C1402" s="85" t="str" cm="1">
        <f t="array" ref="C1402">IFERROR(INDEX('03.Muestra'!$F$8:$F$42,SMALL(IF("Página Web"='03.Muestra'!$D$8:$D$42,ROW('03.Muestra'!$F$8:$F$42)-MIN(ROW('03.Muestra'!$D$8:$D$42))+1,""),ROW()-1386)),"")</f>
        <v>https://www.comunidad.madrid/hospital/santacristina/nosotros/cartera-servicios</v>
      </c>
      <c r="D1402" s="99" t="s">
        <v>92</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CONTACTO</v>
      </c>
      <c r="C1403" s="85" t="str" cm="1">
        <f t="array" ref="C1403">IFERROR(INDEX('03.Muestra'!$F$8:$F$42,SMALL(IF("Página Web"='03.Muestra'!$D$8:$D$42,ROW('03.Muestra'!$F$8:$F$42)-MIN(ROW('03.Muestra'!$D$8:$D$42))+1,""),ROW()-1386)),"")</f>
        <v>https://www.comunidad.madrid/hospital/santacristina/comunicacion/contacto</v>
      </c>
      <c r="D1403" s="99" t="s">
        <v>92</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ACCESIBILIDAD</v>
      </c>
      <c r="C1404" s="85" t="str" cm="1">
        <f t="array" ref="C1404">IFERROR(INDEX('03.Muestra'!$F$8:$F$42,SMALL(IF("Página Web"='03.Muestra'!$D$8:$D$42,ROW('03.Muestra'!$F$8:$F$42)-MIN(ROW('03.Muestra'!$D$8:$D$42))+1,""),ROW()-1386)),"")</f>
        <v>https://www.comunidad.madrid/hospital/santacristina/declaracion-accesibilidad</v>
      </c>
      <c r="D1404" s="99" t="s">
        <v>92</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LEGAL</v>
      </c>
      <c r="C1405" s="85" t="str" cm="1">
        <f t="array" ref="C1405">IFERROR(INDEX('03.Muestra'!$F$8:$F$42,SMALL(IF("Página Web"='03.Muestra'!$D$8:$D$42,ROW('03.Muestra'!$F$8:$F$42)-MIN(ROW('03.Muestra'!$D$8:$D$42))+1,""),ROW()-1386)),"")</f>
        <v>https://www.comunidad.madrid/hospital/santacristina/ciudadanos/aviso-legal-privacidad</v>
      </c>
      <c r="D1405" s="99" t="s">
        <v>92</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MAPA WEB</v>
      </c>
      <c r="C1406" s="85" t="str" cm="1">
        <f t="array" ref="C1406">IFERROR(INDEX('03.Muestra'!$F$8:$F$42,SMALL(IF("Página Web"='03.Muestra'!$D$8:$D$42,ROW('03.Muestra'!$F$8:$F$42)-MIN(ROW('03.Muestra'!$D$8:$D$42))+1,""),ROW()-1386)),"")</f>
        <v>https://www.comunidad.madrid/hospital/santacristina/sitemap</v>
      </c>
      <c r="D1406" s="99" t="s">
        <v>92</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388: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PRINCIPAL</v>
      </c>
      <c r="C1425" s="85" t="str" cm="1">
        <f t="array" ref="C1425">IFERROR(INDEX('03.Muestra'!$F$8:$F$42,SMALL(IF("Página Web"='03.Muestra'!$D$8:$D$42,ROW('03.Muestra'!$F$8:$F$42)-MIN(ROW('03.Muestra'!$D$8:$D$42))+1,""),ROW()-1424)),"")</f>
        <v>https://www.comunidad.madrid/hospital/santacristina/</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https://www.comunidad.madrid/hospital/santacristina/ciudadanos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https://www.comunidad.madrid/hospital/santacristina/profesionales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COMUNICACIÓN</v>
      </c>
      <c r="C1428" s="85" t="str" cm="1">
        <f t="array" ref="C1428">IFERROR(INDEX('03.Muestra'!$F$8:$F$42,SMALL(IF("Página Web"='03.Muestra'!$D$8:$D$42,ROW('03.Muestra'!$F$8:$F$42)-MIN(ROW('03.Muestra'!$D$8:$D$42))+1,""),ROW()-1424)),"")</f>
        <v>https://www.comunidad.madrid/hospital/santacristina/comunicacion</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https://www.comunidad.madrid/hospital/santacristina/nosotros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BUSCADOR</v>
      </c>
      <c r="C1430" s="85" t="str" cm="1">
        <f t="array" ref="C1430">IFERROR(INDEX('03.Muestra'!$F$8:$F$42,SMALL(IF("Página Web"='03.Muestra'!$D$8:$D$42,ROW('03.Muestra'!$F$8:$F$42)-MIN(ROW('03.Muestra'!$D$8:$D$42))+1,""),ROW()-1424)),"")</f>
        <v>https://www.comunidad.madrid/hospital/santacristina/buscar?search_api_fulltext=&amp;nombre=</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ATENCIÓN AL PACIENTE</v>
      </c>
      <c r="C1431" s="85" t="str" cm="1">
        <f t="array" ref="C1431">IFERROR(INDEX('03.Muestra'!$F$8:$F$42,SMALL(IF("Página Web"='03.Muestra'!$D$8:$D$42,ROW('03.Muestra'!$F$8:$F$42)-MIN(ROW('03.Muestra'!$D$8:$D$42))+1,""),ROW()-1424)),"")</f>
        <v>https://www.comunidad.madrid/hospital/santacristina/ciudadanos/atencion-paciente</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ATENCIÓN ESPIRITUAL</v>
      </c>
      <c r="C1432" s="85" t="str" cm="1">
        <f t="array" ref="C1432">IFERROR(INDEX('03.Muestra'!$F$8:$F$42,SMALL(IF("Página Web"='03.Muestra'!$D$8:$D$42,ROW('03.Muestra'!$F$8:$F$42)-MIN(ROW('03.Muestra'!$D$8:$D$42))+1,""),ROW()-1424)),"")</f>
        <v>https://www.comunidad.madrid/hospital/santacristina/ciudadanos/atencion-espiritual-religiosa</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LOCALIZACIÓN Y ACCESO</v>
      </c>
      <c r="C1433" s="85" t="str" cm="1">
        <f t="array" ref="C1433">IFERROR(INDEX('03.Muestra'!$F$8:$F$42,SMALL(IF("Página Web"='03.Muestra'!$D$8:$D$42,ROW('03.Muestra'!$F$8:$F$42)-MIN(ROW('03.Muestra'!$D$8:$D$42))+1,""),ROW()-1424)),"")</f>
        <v>https://www.comunidad.madrid/hospital/santacristina/ciudadanos/localizacion-acceso</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GUÍAS DE USUARIO</v>
      </c>
      <c r="C1434" s="85" t="str" cm="1">
        <f t="array" ref="C1434">IFERROR(INDEX('03.Muestra'!$F$8:$F$42,SMALL(IF("Página Web"='03.Muestra'!$D$8:$D$42,ROW('03.Muestra'!$F$8:$F$42)-MIN(ROW('03.Muestra'!$D$8:$D$42))+1,""),ROW()-1424)),"")</f>
        <v>https://www.comunidad.madrid/hospital/santacristina/ciudadanos/guias-usuario</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SERVICIOS QUIRÚRGICOS</v>
      </c>
      <c r="C1435" s="85" t="str" cm="1">
        <f t="array" ref="C1435">IFERROR(INDEX('03.Muestra'!$F$8:$F$42,SMALL(IF("Página Web"='03.Muestra'!$D$8:$D$42,ROW('03.Muestra'!$F$8:$F$42)-MIN(ROW('03.Muestra'!$D$8:$D$42))+1,""),ROW()-1424)),"")</f>
        <v>https://www.comunidad.madrid/hospital/santacristina/profesionales/servicios-quirurgicos-0</v>
      </c>
      <c r="D1435" s="99" t="s">
        <v>104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INVESTIGACIÓN</v>
      </c>
      <c r="C1436" s="85" t="str" cm="1">
        <f t="array" ref="C1436">IFERROR(INDEX('03.Muestra'!$F$8:$F$42,SMALL(IF("Página Web"='03.Muestra'!$D$8:$D$42,ROW('03.Muestra'!$F$8:$F$42)-MIN(ROW('03.Muestra'!$D$8:$D$42))+1,""),ROW()-1424)),"")</f>
        <v>https://www.comunidad.madrid/hospital/santacristina/profesionales/investigacion-0</v>
      </c>
      <c r="D1436" s="99" t="s">
        <v>104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NOTICIAS</v>
      </c>
      <c r="C1437" s="85" t="str" cm="1">
        <f t="array" ref="C1437">IFERROR(INDEX('03.Muestra'!$F$8:$F$42,SMALL(IF("Página Web"='03.Muestra'!$D$8:$D$42,ROW('03.Muestra'!$F$8:$F$42)-MIN(ROW('03.Muestra'!$D$8:$D$42))+1,""),ROW()-1424)),"")</f>
        <v>https://www.comunidad.madrid/hospital/santacristina/comunicacion/noticias</v>
      </c>
      <c r="D1437" s="99" t="s">
        <v>104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ACTOS DEL CENTENARIO</v>
      </c>
      <c r="C1438" s="85" t="str" cm="1">
        <f t="array" ref="C1438">IFERROR(INDEX('03.Muestra'!$F$8:$F$42,SMALL(IF("Página Web"='03.Muestra'!$D$8:$D$42,ROW('03.Muestra'!$F$8:$F$42)-MIN(ROW('03.Muestra'!$D$8:$D$42))+1,""),ROW()-1424)),"")</f>
        <v>https://www.comunidad.madrid/hospital/santacristina/nosotros/actos-centenario</v>
      </c>
      <c r="D1438" s="99" t="s">
        <v>104</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ACCESIBILIDAD HOSPITAL</v>
      </c>
      <c r="C1439" s="85" t="str" cm="1">
        <f t="array" ref="C1439">IFERROR(INDEX('03.Muestra'!$F$8:$F$42,SMALL(IF("Página Web"='03.Muestra'!$D$8:$D$42,ROW('03.Muestra'!$F$8:$F$42)-MIN(ROW('03.Muestra'!$D$8:$D$42))+1,""),ROW()-1424)),"")</f>
        <v>https://www.comunidad.madrid/hospital/santacristina/nosotros/accesibilidad-hospital</v>
      </c>
      <c r="D1439" s="99" t="s">
        <v>104</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CARTERA DE SERVICIOS</v>
      </c>
      <c r="C1440" s="85" t="str" cm="1">
        <f t="array" ref="C1440">IFERROR(INDEX('03.Muestra'!$F$8:$F$42,SMALL(IF("Página Web"='03.Muestra'!$D$8:$D$42,ROW('03.Muestra'!$F$8:$F$42)-MIN(ROW('03.Muestra'!$D$8:$D$42))+1,""),ROW()-1424)),"")</f>
        <v>https://www.comunidad.madrid/hospital/santacristina/nosotros/cartera-servicios</v>
      </c>
      <c r="D1440" s="99" t="s">
        <v>104</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CONTACTO</v>
      </c>
      <c r="C1441" s="85" t="str" cm="1">
        <f t="array" ref="C1441">IFERROR(INDEX('03.Muestra'!$F$8:$F$42,SMALL(IF("Página Web"='03.Muestra'!$D$8:$D$42,ROW('03.Muestra'!$F$8:$F$42)-MIN(ROW('03.Muestra'!$D$8:$D$42))+1,""),ROW()-1424)),"")</f>
        <v>https://www.comunidad.madrid/hospital/santacristina/comunicacion/contacto</v>
      </c>
      <c r="D1441" s="99" t="s">
        <v>104</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ACCESIBILIDAD</v>
      </c>
      <c r="C1442" s="85" t="str" cm="1">
        <f t="array" ref="C1442">IFERROR(INDEX('03.Muestra'!$F$8:$F$42,SMALL(IF("Página Web"='03.Muestra'!$D$8:$D$42,ROW('03.Muestra'!$F$8:$F$42)-MIN(ROW('03.Muestra'!$D$8:$D$42))+1,""),ROW()-1424)),"")</f>
        <v>https://www.comunidad.madrid/hospital/santacristina/declaracion-accesibilidad</v>
      </c>
      <c r="D1442" s="99" t="s">
        <v>104</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LEGAL</v>
      </c>
      <c r="C1443" s="85" t="str" cm="1">
        <f t="array" ref="C1443">IFERROR(INDEX('03.Muestra'!$F$8:$F$42,SMALL(IF("Página Web"='03.Muestra'!$D$8:$D$42,ROW('03.Muestra'!$F$8:$F$42)-MIN(ROW('03.Muestra'!$D$8:$D$42))+1,""),ROW()-1424)),"")</f>
        <v>https://www.comunidad.madrid/hospital/santacristina/ciudadanos/aviso-legal-privacidad</v>
      </c>
      <c r="D1443" s="99" t="s">
        <v>104</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MAPA WEB</v>
      </c>
      <c r="C1444" s="85" t="str" cm="1">
        <f t="array" ref="C1444">IFERROR(INDEX('03.Muestra'!$F$8:$F$42,SMALL(IF("Página Web"='03.Muestra'!$D$8:$D$42,ROW('03.Muestra'!$F$8:$F$42)-MIN(ROW('03.Muestra'!$D$8:$D$42))+1,""),ROW()-1424)),"")</f>
        <v>https://www.comunidad.madrid/hospital/santacristina/sitemap</v>
      </c>
      <c r="D1444" s="99" t="s">
        <v>104</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26: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PRINCIPAL</v>
      </c>
      <c r="C1463" s="85" t="str" cm="1">
        <f t="array" ref="C1463">IFERROR(INDEX('03.Muestra'!$F$8:$F$42,SMALL(IF("Página Web"='03.Muestra'!$D$8:$D$42,ROW('03.Muestra'!$F$8:$F$42)-MIN(ROW('03.Muestra'!$D$8:$D$42))+1,""),ROW()-1462)),"")</f>
        <v>https://www.comunidad.madrid/hospital/santacristina/</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https://www.comunidad.madrid/hospital/santacristina/ciudadanos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https://www.comunidad.madrid/hospital/santacristina/profesionales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COMUNICACIÓN</v>
      </c>
      <c r="C1466" s="85" t="str" cm="1">
        <f t="array" ref="C1466">IFERROR(INDEX('03.Muestra'!$F$8:$F$42,SMALL(IF("Página Web"='03.Muestra'!$D$8:$D$42,ROW('03.Muestra'!$F$8:$F$42)-MIN(ROW('03.Muestra'!$D$8:$D$42))+1,""),ROW()-1462)),"")</f>
        <v>https://www.comunidad.madrid/hospital/santacristina/comunicacion</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https://www.comunidad.madrid/hospital/santacristina/nosotros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BUSCADOR</v>
      </c>
      <c r="C1468" s="85" t="str" cm="1">
        <f t="array" ref="C1468">IFERROR(INDEX('03.Muestra'!$F$8:$F$42,SMALL(IF("Página Web"='03.Muestra'!$D$8:$D$42,ROW('03.Muestra'!$F$8:$F$42)-MIN(ROW('03.Muestra'!$D$8:$D$42))+1,""),ROW()-1462)),"")</f>
        <v>https://www.comunidad.madrid/hospital/santacristina/buscar?search_api_fulltext=&amp;nombre=</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ATENCIÓN AL PACIENTE</v>
      </c>
      <c r="C1469" s="85" t="str" cm="1">
        <f t="array" ref="C1469">IFERROR(INDEX('03.Muestra'!$F$8:$F$42,SMALL(IF("Página Web"='03.Muestra'!$D$8:$D$42,ROW('03.Muestra'!$F$8:$F$42)-MIN(ROW('03.Muestra'!$D$8:$D$42))+1,""),ROW()-1462)),"")</f>
        <v>https://www.comunidad.madrid/hospital/santacristina/ciudadanos/atencion-paciente</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ATENCIÓN ESPIRITUAL</v>
      </c>
      <c r="C1470" s="85" t="str" cm="1">
        <f t="array" ref="C1470">IFERROR(INDEX('03.Muestra'!$F$8:$F$42,SMALL(IF("Página Web"='03.Muestra'!$D$8:$D$42,ROW('03.Muestra'!$F$8:$F$42)-MIN(ROW('03.Muestra'!$D$8:$D$42))+1,""),ROW()-1462)),"")</f>
        <v>https://www.comunidad.madrid/hospital/santacristina/ciudadanos/atencion-espiritual-religiosa</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LOCALIZACIÓN Y ACCESO</v>
      </c>
      <c r="C1471" s="85" t="str" cm="1">
        <f t="array" ref="C1471">IFERROR(INDEX('03.Muestra'!$F$8:$F$42,SMALL(IF("Página Web"='03.Muestra'!$D$8:$D$42,ROW('03.Muestra'!$F$8:$F$42)-MIN(ROW('03.Muestra'!$D$8:$D$42))+1,""),ROW()-1462)),"")</f>
        <v>https://www.comunidad.madrid/hospital/santacristina/ciudadanos/localizacion-acceso</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GUÍAS DE USUARIO</v>
      </c>
      <c r="C1472" s="85" t="str" cm="1">
        <f t="array" ref="C1472">IFERROR(INDEX('03.Muestra'!$F$8:$F$42,SMALL(IF("Página Web"='03.Muestra'!$D$8:$D$42,ROW('03.Muestra'!$F$8:$F$42)-MIN(ROW('03.Muestra'!$D$8:$D$42))+1,""),ROW()-1462)),"")</f>
        <v>https://www.comunidad.madrid/hospital/santacristina/ciudadanos/guias-usuario</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SERVICIOS QUIRÚRGICOS</v>
      </c>
      <c r="C1473" s="85" t="str" cm="1">
        <f t="array" ref="C1473">IFERROR(INDEX('03.Muestra'!$F$8:$F$42,SMALL(IF("Página Web"='03.Muestra'!$D$8:$D$42,ROW('03.Muestra'!$F$8:$F$42)-MIN(ROW('03.Muestra'!$D$8:$D$42))+1,""),ROW()-1462)),"")</f>
        <v>https://www.comunidad.madrid/hospital/santacristina/profesionales/servicios-quirurgicos-0</v>
      </c>
      <c r="D1473" s="99" t="s">
        <v>92</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INVESTIGACIÓN</v>
      </c>
      <c r="C1474" s="85" t="str" cm="1">
        <f t="array" ref="C1474">IFERROR(INDEX('03.Muestra'!$F$8:$F$42,SMALL(IF("Página Web"='03.Muestra'!$D$8:$D$42,ROW('03.Muestra'!$F$8:$F$42)-MIN(ROW('03.Muestra'!$D$8:$D$42))+1,""),ROW()-1462)),"")</f>
        <v>https://www.comunidad.madrid/hospital/santacristina/profesionales/investigacion-0</v>
      </c>
      <c r="D1474" s="99" t="s">
        <v>92</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NOTICIAS</v>
      </c>
      <c r="C1475" s="85" t="str" cm="1">
        <f t="array" ref="C1475">IFERROR(INDEX('03.Muestra'!$F$8:$F$42,SMALL(IF("Página Web"='03.Muestra'!$D$8:$D$42,ROW('03.Muestra'!$F$8:$F$42)-MIN(ROW('03.Muestra'!$D$8:$D$42))+1,""),ROW()-1462)),"")</f>
        <v>https://www.comunidad.madrid/hospital/santacristina/comunicacion/noticias</v>
      </c>
      <c r="D1475" s="99" t="s">
        <v>92</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ACTOS DEL CENTENARIO</v>
      </c>
      <c r="C1476" s="85" t="str" cm="1">
        <f t="array" ref="C1476">IFERROR(INDEX('03.Muestra'!$F$8:$F$42,SMALL(IF("Página Web"='03.Muestra'!$D$8:$D$42,ROW('03.Muestra'!$F$8:$F$42)-MIN(ROW('03.Muestra'!$D$8:$D$42))+1,""),ROW()-1462)),"")</f>
        <v>https://www.comunidad.madrid/hospital/santacristina/nosotros/actos-centenario</v>
      </c>
      <c r="D1476" s="99" t="s">
        <v>92</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ACCESIBILIDAD HOSPITAL</v>
      </c>
      <c r="C1477" s="85" t="str" cm="1">
        <f t="array" ref="C1477">IFERROR(INDEX('03.Muestra'!$F$8:$F$42,SMALL(IF("Página Web"='03.Muestra'!$D$8:$D$42,ROW('03.Muestra'!$F$8:$F$42)-MIN(ROW('03.Muestra'!$D$8:$D$42))+1,""),ROW()-1462)),"")</f>
        <v>https://www.comunidad.madrid/hospital/santacristina/nosotros/accesibilidad-hospital</v>
      </c>
      <c r="D1477" s="99" t="s">
        <v>92</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CARTERA DE SERVICIOS</v>
      </c>
      <c r="C1478" s="85" t="str" cm="1">
        <f t="array" ref="C1478">IFERROR(INDEX('03.Muestra'!$F$8:$F$42,SMALL(IF("Página Web"='03.Muestra'!$D$8:$D$42,ROW('03.Muestra'!$F$8:$F$42)-MIN(ROW('03.Muestra'!$D$8:$D$42))+1,""),ROW()-1462)),"")</f>
        <v>https://www.comunidad.madrid/hospital/santacristina/nosotros/cartera-servicios</v>
      </c>
      <c r="D1478" s="99" t="s">
        <v>92</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CONTACTO</v>
      </c>
      <c r="C1479" s="85" t="str" cm="1">
        <f t="array" ref="C1479">IFERROR(INDEX('03.Muestra'!$F$8:$F$42,SMALL(IF("Página Web"='03.Muestra'!$D$8:$D$42,ROW('03.Muestra'!$F$8:$F$42)-MIN(ROW('03.Muestra'!$D$8:$D$42))+1,""),ROW()-1462)),"")</f>
        <v>https://www.comunidad.madrid/hospital/santacristina/comunicacion/contacto</v>
      </c>
      <c r="D1479" s="99" t="s">
        <v>92</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ACCESIBILIDAD</v>
      </c>
      <c r="C1480" s="85" t="str" cm="1">
        <f t="array" ref="C1480">IFERROR(INDEX('03.Muestra'!$F$8:$F$42,SMALL(IF("Página Web"='03.Muestra'!$D$8:$D$42,ROW('03.Muestra'!$F$8:$F$42)-MIN(ROW('03.Muestra'!$D$8:$D$42))+1,""),ROW()-1462)),"")</f>
        <v>https://www.comunidad.madrid/hospital/santacristina/declaracion-accesibilidad</v>
      </c>
      <c r="D1480" s="99" t="s">
        <v>92</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LEGAL</v>
      </c>
      <c r="C1481" s="85" t="str" cm="1">
        <f t="array" ref="C1481">IFERROR(INDEX('03.Muestra'!$F$8:$F$42,SMALL(IF("Página Web"='03.Muestra'!$D$8:$D$42,ROW('03.Muestra'!$F$8:$F$42)-MIN(ROW('03.Muestra'!$D$8:$D$42))+1,""),ROW()-1462)),"")</f>
        <v>https://www.comunidad.madrid/hospital/santacristina/ciudadanos/aviso-legal-privacidad</v>
      </c>
      <c r="D1481" s="99" t="s">
        <v>92</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MAPA WEB</v>
      </c>
      <c r="C1482" s="85" t="str" cm="1">
        <f t="array" ref="C1482">IFERROR(INDEX('03.Muestra'!$F$8:$F$42,SMALL(IF("Página Web"='03.Muestra'!$D$8:$D$42,ROW('03.Muestra'!$F$8:$F$42)-MIN(ROW('03.Muestra'!$D$8:$D$42))+1,""),ROW()-1462)),"")</f>
        <v>https://www.comunidad.madrid/hospital/santacristina/sitemap</v>
      </c>
      <c r="D1482" s="99" t="s">
        <v>92</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64: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PRINCIPAL</v>
      </c>
      <c r="C1501" s="85" t="str" cm="1">
        <f t="array" ref="C1501">IFERROR(INDEX('03.Muestra'!$F$8:$F$42,SMALL(IF("Página Web"='03.Muestra'!$D$8:$D$42,ROW('03.Muestra'!$F$8:$F$42)-MIN(ROW('03.Muestra'!$D$8:$D$42))+1,""),ROW()-1500)),"")</f>
        <v>https://www.comunidad.madrid/hospital/santacristina/</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https://www.comunidad.madrid/hospital/santacristina/ciudadanos</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https://www.comunidad.madrid/hospital/santacristina/profesionales</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COMUNICACIÓN</v>
      </c>
      <c r="C1504" s="85" t="str" cm="1">
        <f t="array" ref="C1504">IFERROR(INDEX('03.Muestra'!$F$8:$F$42,SMALL(IF("Página Web"='03.Muestra'!$D$8:$D$42,ROW('03.Muestra'!$F$8:$F$42)-MIN(ROW('03.Muestra'!$D$8:$D$42))+1,""),ROW()-1500)),"")</f>
        <v>https://www.comunidad.madrid/hospital/santacristina/comunicacion</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https://www.comunidad.madrid/hospital/santacristina/nosotros</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BUSCADOR</v>
      </c>
      <c r="C1506" s="85" t="str" cm="1">
        <f t="array" ref="C1506">IFERROR(INDEX('03.Muestra'!$F$8:$F$42,SMALL(IF("Página Web"='03.Muestra'!$D$8:$D$42,ROW('03.Muestra'!$F$8:$F$42)-MIN(ROW('03.Muestra'!$D$8:$D$42))+1,""),ROW()-1500)),"")</f>
        <v>https://www.comunidad.madrid/hospital/santacristina/buscar?search_api_fulltext=&amp;nombre=</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ATENCIÓN AL PACIENTE</v>
      </c>
      <c r="C1507" s="85" t="str" cm="1">
        <f t="array" ref="C1507">IFERROR(INDEX('03.Muestra'!$F$8:$F$42,SMALL(IF("Página Web"='03.Muestra'!$D$8:$D$42,ROW('03.Muestra'!$F$8:$F$42)-MIN(ROW('03.Muestra'!$D$8:$D$42))+1,""),ROW()-1500)),"")</f>
        <v>https://www.comunidad.madrid/hospital/santacristina/ciudadanos/atencion-paciente</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ATENCIÓN ESPIRITUAL</v>
      </c>
      <c r="C1508" s="85" t="str" cm="1">
        <f t="array" ref="C1508">IFERROR(INDEX('03.Muestra'!$F$8:$F$42,SMALL(IF("Página Web"='03.Muestra'!$D$8:$D$42,ROW('03.Muestra'!$F$8:$F$42)-MIN(ROW('03.Muestra'!$D$8:$D$42))+1,""),ROW()-1500)),"")</f>
        <v>https://www.comunidad.madrid/hospital/santacristina/ciudadanos/atencion-espiritual-religiosa</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LOCALIZACIÓN Y ACCESO</v>
      </c>
      <c r="C1509" s="85" t="str" cm="1">
        <f t="array" ref="C1509">IFERROR(INDEX('03.Muestra'!$F$8:$F$42,SMALL(IF("Página Web"='03.Muestra'!$D$8:$D$42,ROW('03.Muestra'!$F$8:$F$42)-MIN(ROW('03.Muestra'!$D$8:$D$42))+1,""),ROW()-1500)),"")</f>
        <v>https://www.comunidad.madrid/hospital/santacristina/ciudadanos/localizacion-acceso</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GUÍAS DE USUARIO</v>
      </c>
      <c r="C1510" s="85" t="str" cm="1">
        <f t="array" ref="C1510">IFERROR(INDEX('03.Muestra'!$F$8:$F$42,SMALL(IF("Página Web"='03.Muestra'!$D$8:$D$42,ROW('03.Muestra'!$F$8:$F$42)-MIN(ROW('03.Muestra'!$D$8:$D$42))+1,""),ROW()-1500)),"")</f>
        <v>https://www.comunidad.madrid/hospital/santacristina/ciudadanos/guias-usuario</v>
      </c>
      <c r="D1510" s="99" t="s">
        <v>92</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SERVICIOS QUIRÚRGICOS</v>
      </c>
      <c r="C1511" s="85" t="str" cm="1">
        <f t="array" ref="C1511">IFERROR(INDEX('03.Muestra'!$F$8:$F$42,SMALL(IF("Página Web"='03.Muestra'!$D$8:$D$42,ROW('03.Muestra'!$F$8:$F$42)-MIN(ROW('03.Muestra'!$D$8:$D$42))+1,""),ROW()-1500)),"")</f>
        <v>https://www.comunidad.madrid/hospital/santacristina/profesionales/servicios-quirurgicos-0</v>
      </c>
      <c r="D1511" s="99" t="s">
        <v>92</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INVESTIGACIÓN</v>
      </c>
      <c r="C1512" s="85" t="str" cm="1">
        <f t="array" ref="C1512">IFERROR(INDEX('03.Muestra'!$F$8:$F$42,SMALL(IF("Página Web"='03.Muestra'!$D$8:$D$42,ROW('03.Muestra'!$F$8:$F$42)-MIN(ROW('03.Muestra'!$D$8:$D$42))+1,""),ROW()-1500)),"")</f>
        <v>https://www.comunidad.madrid/hospital/santacristina/profesionales/investigacion-0</v>
      </c>
      <c r="D1512" s="99" t="s">
        <v>92</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NOTICIAS</v>
      </c>
      <c r="C1513" s="85" t="str" cm="1">
        <f t="array" ref="C1513">IFERROR(INDEX('03.Muestra'!$F$8:$F$42,SMALL(IF("Página Web"='03.Muestra'!$D$8:$D$42,ROW('03.Muestra'!$F$8:$F$42)-MIN(ROW('03.Muestra'!$D$8:$D$42))+1,""),ROW()-1500)),"")</f>
        <v>https://www.comunidad.madrid/hospital/santacristina/comunicacion/noticias</v>
      </c>
      <c r="D1513" s="99" t="s">
        <v>92</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ACTOS DEL CENTENARIO</v>
      </c>
      <c r="C1514" s="85" t="str" cm="1">
        <f t="array" ref="C1514">IFERROR(INDEX('03.Muestra'!$F$8:$F$42,SMALL(IF("Página Web"='03.Muestra'!$D$8:$D$42,ROW('03.Muestra'!$F$8:$F$42)-MIN(ROW('03.Muestra'!$D$8:$D$42))+1,""),ROW()-1500)),"")</f>
        <v>https://www.comunidad.madrid/hospital/santacristina/nosotros/actos-centenario</v>
      </c>
      <c r="D1514" s="99" t="s">
        <v>92</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ACCESIBILIDAD HOSPITAL</v>
      </c>
      <c r="C1515" s="85" t="str" cm="1">
        <f t="array" ref="C1515">IFERROR(INDEX('03.Muestra'!$F$8:$F$42,SMALL(IF("Página Web"='03.Muestra'!$D$8:$D$42,ROW('03.Muestra'!$F$8:$F$42)-MIN(ROW('03.Muestra'!$D$8:$D$42))+1,""),ROW()-1500)),"")</f>
        <v>https://www.comunidad.madrid/hospital/santacristina/nosotros/accesibilidad-hospital</v>
      </c>
      <c r="D1515" s="99" t="s">
        <v>92</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CARTERA DE SERVICIOS</v>
      </c>
      <c r="C1516" s="85" t="str" cm="1">
        <f t="array" ref="C1516">IFERROR(INDEX('03.Muestra'!$F$8:$F$42,SMALL(IF("Página Web"='03.Muestra'!$D$8:$D$42,ROW('03.Muestra'!$F$8:$F$42)-MIN(ROW('03.Muestra'!$D$8:$D$42))+1,""),ROW()-1500)),"")</f>
        <v>https://www.comunidad.madrid/hospital/santacristina/nosotros/cartera-servicios</v>
      </c>
      <c r="D1516" s="99" t="s">
        <v>92</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CONTACTO</v>
      </c>
      <c r="C1517" s="85" t="str" cm="1">
        <f t="array" ref="C1517">IFERROR(INDEX('03.Muestra'!$F$8:$F$42,SMALL(IF("Página Web"='03.Muestra'!$D$8:$D$42,ROW('03.Muestra'!$F$8:$F$42)-MIN(ROW('03.Muestra'!$D$8:$D$42))+1,""),ROW()-1500)),"")</f>
        <v>https://www.comunidad.madrid/hospital/santacristina/comunicacion/contacto</v>
      </c>
      <c r="D1517" s="99" t="s">
        <v>92</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ACCESIBILIDAD</v>
      </c>
      <c r="C1518" s="85" t="str" cm="1">
        <f t="array" ref="C1518">IFERROR(INDEX('03.Muestra'!$F$8:$F$42,SMALL(IF("Página Web"='03.Muestra'!$D$8:$D$42,ROW('03.Muestra'!$F$8:$F$42)-MIN(ROW('03.Muestra'!$D$8:$D$42))+1,""),ROW()-1500)),"")</f>
        <v>https://www.comunidad.madrid/hospital/santacristina/declaracion-accesibilidad</v>
      </c>
      <c r="D1518" s="99" t="s">
        <v>92</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LEGAL</v>
      </c>
      <c r="C1519" s="85" t="str" cm="1">
        <f t="array" ref="C1519">IFERROR(INDEX('03.Muestra'!$F$8:$F$42,SMALL(IF("Página Web"='03.Muestra'!$D$8:$D$42,ROW('03.Muestra'!$F$8:$F$42)-MIN(ROW('03.Muestra'!$D$8:$D$42))+1,""),ROW()-1500)),"")</f>
        <v>https://www.comunidad.madrid/hospital/santacristina/ciudadanos/aviso-legal-privacidad</v>
      </c>
      <c r="D1519" s="99" t="s">
        <v>92</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MAPA WEB</v>
      </c>
      <c r="C1520" s="85" t="str" cm="1">
        <f t="array" ref="C1520">IFERROR(INDEX('03.Muestra'!$F$8:$F$42,SMALL(IF("Página Web"='03.Muestra'!$D$8:$D$42,ROW('03.Muestra'!$F$8:$F$42)-MIN(ROW('03.Muestra'!$D$8:$D$42))+1,""),ROW()-1500)),"")</f>
        <v>https://www.comunidad.madrid/hospital/santacristina/sitemap</v>
      </c>
      <c r="D1520" s="99" t="s">
        <v>92</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02: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PRINCIPAL</v>
      </c>
      <c r="C1539" s="85" t="str" cm="1">
        <f t="array" ref="C1539">IFERROR(INDEX('03.Muestra'!$F$8:$F$42,SMALL(IF("Página Web"='03.Muestra'!$D$8:$D$42,ROW('03.Muestra'!$F$8:$F$42)-MIN(ROW('03.Muestra'!$D$8:$D$42))+1,""),ROW()-1538)),"")</f>
        <v>https://www.comunidad.madrid/hospital/santacristina/</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https://www.comunidad.madrid/hospital/santacristina/ciudadanos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https://www.comunidad.madrid/hospital/santacristina/profesionales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COMUNICACIÓN</v>
      </c>
      <c r="C1542" s="85" t="str" cm="1">
        <f t="array" ref="C1542">IFERROR(INDEX('03.Muestra'!$F$8:$F$42,SMALL(IF("Página Web"='03.Muestra'!$D$8:$D$42,ROW('03.Muestra'!$F$8:$F$42)-MIN(ROW('03.Muestra'!$D$8:$D$42))+1,""),ROW()-1538)),"")</f>
        <v>https://www.comunidad.madrid/hospital/santacristina/comunicacion</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https://www.comunidad.madrid/hospital/santacristina/nosotros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BUSCADOR</v>
      </c>
      <c r="C1544" s="85" t="str" cm="1">
        <f t="array" ref="C1544">IFERROR(INDEX('03.Muestra'!$F$8:$F$42,SMALL(IF("Página Web"='03.Muestra'!$D$8:$D$42,ROW('03.Muestra'!$F$8:$F$42)-MIN(ROW('03.Muestra'!$D$8:$D$42))+1,""),ROW()-1538)),"")</f>
        <v>https://www.comunidad.madrid/hospital/santacristina/buscar?search_api_fulltext=&amp;nombre=</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ATENCIÓN AL PACIENTE</v>
      </c>
      <c r="C1545" s="85" t="str" cm="1">
        <f t="array" ref="C1545">IFERROR(INDEX('03.Muestra'!$F$8:$F$42,SMALL(IF("Página Web"='03.Muestra'!$D$8:$D$42,ROW('03.Muestra'!$F$8:$F$42)-MIN(ROW('03.Muestra'!$D$8:$D$42))+1,""),ROW()-1538)),"")</f>
        <v>https://www.comunidad.madrid/hospital/santacristina/ciudadanos/atencion-paciente</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ATENCIÓN ESPIRITUAL</v>
      </c>
      <c r="C1546" s="85" t="str" cm="1">
        <f t="array" ref="C1546">IFERROR(INDEX('03.Muestra'!$F$8:$F$42,SMALL(IF("Página Web"='03.Muestra'!$D$8:$D$42,ROW('03.Muestra'!$F$8:$F$42)-MIN(ROW('03.Muestra'!$D$8:$D$42))+1,""),ROW()-1538)),"")</f>
        <v>https://www.comunidad.madrid/hospital/santacristina/ciudadanos/atencion-espiritual-religiosa</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LOCALIZACIÓN Y ACCESO</v>
      </c>
      <c r="C1547" s="85" t="str" cm="1">
        <f t="array" ref="C1547">IFERROR(INDEX('03.Muestra'!$F$8:$F$42,SMALL(IF("Página Web"='03.Muestra'!$D$8:$D$42,ROW('03.Muestra'!$F$8:$F$42)-MIN(ROW('03.Muestra'!$D$8:$D$42))+1,""),ROW()-1538)),"")</f>
        <v>https://www.comunidad.madrid/hospital/santacristina/ciudadanos/localizacion-acceso</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GUÍAS DE USUARIO</v>
      </c>
      <c r="C1548" s="85" t="str" cm="1">
        <f t="array" ref="C1548">IFERROR(INDEX('03.Muestra'!$F$8:$F$42,SMALL(IF("Página Web"='03.Muestra'!$D$8:$D$42,ROW('03.Muestra'!$F$8:$F$42)-MIN(ROW('03.Muestra'!$D$8:$D$42))+1,""),ROW()-1538)),"")</f>
        <v>https://www.comunidad.madrid/hospital/santacristina/ciudadanos/guias-usuario</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SERVICIOS QUIRÚRGICOS</v>
      </c>
      <c r="C1549" s="85" t="str" cm="1">
        <f t="array" ref="C1549">IFERROR(INDEX('03.Muestra'!$F$8:$F$42,SMALL(IF("Página Web"='03.Muestra'!$D$8:$D$42,ROW('03.Muestra'!$F$8:$F$42)-MIN(ROW('03.Muestra'!$D$8:$D$42))+1,""),ROW()-1538)),"")</f>
        <v>https://www.comunidad.madrid/hospital/santacristina/profesionales/servicios-quirurgicos-0</v>
      </c>
      <c r="D1549" s="99" t="s">
        <v>92</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INVESTIGACIÓN</v>
      </c>
      <c r="C1550" s="85" t="str" cm="1">
        <f t="array" ref="C1550">IFERROR(INDEX('03.Muestra'!$F$8:$F$42,SMALL(IF("Página Web"='03.Muestra'!$D$8:$D$42,ROW('03.Muestra'!$F$8:$F$42)-MIN(ROW('03.Muestra'!$D$8:$D$42))+1,""),ROW()-1538)),"")</f>
        <v>https://www.comunidad.madrid/hospital/santacristina/profesionales/investigacion-0</v>
      </c>
      <c r="D1550" s="99" t="s">
        <v>92</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NOTICIAS</v>
      </c>
      <c r="C1551" s="85" t="str" cm="1">
        <f t="array" ref="C1551">IFERROR(INDEX('03.Muestra'!$F$8:$F$42,SMALL(IF("Página Web"='03.Muestra'!$D$8:$D$42,ROW('03.Muestra'!$F$8:$F$42)-MIN(ROW('03.Muestra'!$D$8:$D$42))+1,""),ROW()-1538)),"")</f>
        <v>https://www.comunidad.madrid/hospital/santacristina/comunicacion/noticias</v>
      </c>
      <c r="D1551" s="99" t="s">
        <v>92</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ACTOS DEL CENTENARIO</v>
      </c>
      <c r="C1552" s="85" t="str" cm="1">
        <f t="array" ref="C1552">IFERROR(INDEX('03.Muestra'!$F$8:$F$42,SMALL(IF("Página Web"='03.Muestra'!$D$8:$D$42,ROW('03.Muestra'!$F$8:$F$42)-MIN(ROW('03.Muestra'!$D$8:$D$42))+1,""),ROW()-1538)),"")</f>
        <v>https://www.comunidad.madrid/hospital/santacristina/nosotros/actos-centenario</v>
      </c>
      <c r="D1552" s="99" t="s">
        <v>92</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ACCESIBILIDAD HOSPITAL</v>
      </c>
      <c r="C1553" s="85" t="str" cm="1">
        <f t="array" ref="C1553">IFERROR(INDEX('03.Muestra'!$F$8:$F$42,SMALL(IF("Página Web"='03.Muestra'!$D$8:$D$42,ROW('03.Muestra'!$F$8:$F$42)-MIN(ROW('03.Muestra'!$D$8:$D$42))+1,""),ROW()-1538)),"")</f>
        <v>https://www.comunidad.madrid/hospital/santacristina/nosotros/accesibilidad-hospital</v>
      </c>
      <c r="D1553" s="99" t="s">
        <v>92</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CARTERA DE SERVICIOS</v>
      </c>
      <c r="C1554" s="85" t="str" cm="1">
        <f t="array" ref="C1554">IFERROR(INDEX('03.Muestra'!$F$8:$F$42,SMALL(IF("Página Web"='03.Muestra'!$D$8:$D$42,ROW('03.Muestra'!$F$8:$F$42)-MIN(ROW('03.Muestra'!$D$8:$D$42))+1,""),ROW()-1538)),"")</f>
        <v>https://www.comunidad.madrid/hospital/santacristina/nosotros/cartera-servicios</v>
      </c>
      <c r="D1554" s="99" t="s">
        <v>92</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CONTACTO</v>
      </c>
      <c r="C1555" s="85" t="str" cm="1">
        <f t="array" ref="C1555">IFERROR(INDEX('03.Muestra'!$F$8:$F$42,SMALL(IF("Página Web"='03.Muestra'!$D$8:$D$42,ROW('03.Muestra'!$F$8:$F$42)-MIN(ROW('03.Muestra'!$D$8:$D$42))+1,""),ROW()-1538)),"")</f>
        <v>https://www.comunidad.madrid/hospital/santacristina/comunicacion/contacto</v>
      </c>
      <c r="D1555" s="99" t="s">
        <v>92</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ACCESIBILIDAD</v>
      </c>
      <c r="C1556" s="85" t="str" cm="1">
        <f t="array" ref="C1556">IFERROR(INDEX('03.Muestra'!$F$8:$F$42,SMALL(IF("Página Web"='03.Muestra'!$D$8:$D$42,ROW('03.Muestra'!$F$8:$F$42)-MIN(ROW('03.Muestra'!$D$8:$D$42))+1,""),ROW()-1538)),"")</f>
        <v>https://www.comunidad.madrid/hospital/santacristina/declaracion-accesibilidad</v>
      </c>
      <c r="D1556" s="99" t="s">
        <v>92</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LEGAL</v>
      </c>
      <c r="C1557" s="85" t="str" cm="1">
        <f t="array" ref="C1557">IFERROR(INDEX('03.Muestra'!$F$8:$F$42,SMALL(IF("Página Web"='03.Muestra'!$D$8:$D$42,ROW('03.Muestra'!$F$8:$F$42)-MIN(ROW('03.Muestra'!$D$8:$D$42))+1,""),ROW()-1538)),"")</f>
        <v>https://www.comunidad.madrid/hospital/santacristina/ciudadanos/aviso-legal-privacidad</v>
      </c>
      <c r="D1557" s="99" t="s">
        <v>92</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MAPA WEB</v>
      </c>
      <c r="C1558" s="85" t="str" cm="1">
        <f t="array" ref="C1558">IFERROR(INDEX('03.Muestra'!$F$8:$F$42,SMALL(IF("Página Web"='03.Muestra'!$D$8:$D$42,ROW('03.Muestra'!$F$8:$F$42)-MIN(ROW('03.Muestra'!$D$8:$D$42))+1,""),ROW()-1538)),"")</f>
        <v>https://www.comunidad.madrid/hospital/santacristina/sitemap</v>
      </c>
      <c r="D1558" s="99" t="s">
        <v>92</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40: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PRINCIPAL</v>
      </c>
      <c r="C1577" s="85" t="str" cm="1">
        <f t="array" ref="C1577">IFERROR(INDEX('03.Muestra'!$F$8:$F$42,SMALL(IF("Página Web"='03.Muestra'!$D$8:$D$42,ROW('03.Muestra'!$F$8:$F$42)-MIN(ROW('03.Muestra'!$D$8:$D$42))+1,""),ROW()-1576)),"")</f>
        <v>https://www.comunidad.madrid/hospital/santacristina/</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https://www.comunidad.madrid/hospital/santacristina/ciudadanos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https://www.comunidad.madrid/hospital/santacristina/profesionales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COMUNICACIÓN</v>
      </c>
      <c r="C1580" s="85" t="str" cm="1">
        <f t="array" ref="C1580">IFERROR(INDEX('03.Muestra'!$F$8:$F$42,SMALL(IF("Página Web"='03.Muestra'!$D$8:$D$42,ROW('03.Muestra'!$F$8:$F$42)-MIN(ROW('03.Muestra'!$D$8:$D$42))+1,""),ROW()-1576)),"")</f>
        <v>https://www.comunidad.madrid/hospital/santacristina/comunicacion</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https://www.comunidad.madrid/hospital/santacristina/nosotros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BUSCADOR</v>
      </c>
      <c r="C1582" s="85" t="str" cm="1">
        <f t="array" ref="C1582">IFERROR(INDEX('03.Muestra'!$F$8:$F$42,SMALL(IF("Página Web"='03.Muestra'!$D$8:$D$42,ROW('03.Muestra'!$F$8:$F$42)-MIN(ROW('03.Muestra'!$D$8:$D$42))+1,""),ROW()-1576)),"")</f>
        <v>https://www.comunidad.madrid/hospital/santacristina/buscar?search_api_fulltext=&amp;nombre=</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ATENCIÓN AL PACIENTE</v>
      </c>
      <c r="C1583" s="85" t="str" cm="1">
        <f t="array" ref="C1583">IFERROR(INDEX('03.Muestra'!$F$8:$F$42,SMALL(IF("Página Web"='03.Muestra'!$D$8:$D$42,ROW('03.Muestra'!$F$8:$F$42)-MIN(ROW('03.Muestra'!$D$8:$D$42))+1,""),ROW()-1576)),"")</f>
        <v>https://www.comunidad.madrid/hospital/santacristina/ciudadanos/atencion-paciente</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ATENCIÓN ESPIRITUAL</v>
      </c>
      <c r="C1584" s="85" t="str" cm="1">
        <f t="array" ref="C1584">IFERROR(INDEX('03.Muestra'!$F$8:$F$42,SMALL(IF("Página Web"='03.Muestra'!$D$8:$D$42,ROW('03.Muestra'!$F$8:$F$42)-MIN(ROW('03.Muestra'!$D$8:$D$42))+1,""),ROW()-1576)),"")</f>
        <v>https://www.comunidad.madrid/hospital/santacristina/ciudadanos/atencion-espiritual-religiosa</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LOCALIZACIÓN Y ACCESO</v>
      </c>
      <c r="C1585" s="85" t="str" cm="1">
        <f t="array" ref="C1585">IFERROR(INDEX('03.Muestra'!$F$8:$F$42,SMALL(IF("Página Web"='03.Muestra'!$D$8:$D$42,ROW('03.Muestra'!$F$8:$F$42)-MIN(ROW('03.Muestra'!$D$8:$D$42))+1,""),ROW()-1576)),"")</f>
        <v>https://www.comunidad.madrid/hospital/santacristina/ciudadanos/localizacion-acceso</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GUÍAS DE USUARIO</v>
      </c>
      <c r="C1586" s="85" t="str" cm="1">
        <f t="array" ref="C1586">IFERROR(INDEX('03.Muestra'!$F$8:$F$42,SMALL(IF("Página Web"='03.Muestra'!$D$8:$D$42,ROW('03.Muestra'!$F$8:$F$42)-MIN(ROW('03.Muestra'!$D$8:$D$42))+1,""),ROW()-1576)),"")</f>
        <v>https://www.comunidad.madrid/hospital/santacristina/ciudadanos/guias-usuario</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SERVICIOS QUIRÚRGICOS</v>
      </c>
      <c r="C1587" s="85" t="str" cm="1">
        <f t="array" ref="C1587">IFERROR(INDEX('03.Muestra'!$F$8:$F$42,SMALL(IF("Página Web"='03.Muestra'!$D$8:$D$42,ROW('03.Muestra'!$F$8:$F$42)-MIN(ROW('03.Muestra'!$D$8:$D$42))+1,""),ROW()-1576)),"")</f>
        <v>https://www.comunidad.madrid/hospital/santacristina/profesionales/servicios-quirurgicos-0</v>
      </c>
      <c r="D1587" s="99" t="s">
        <v>92</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INVESTIGACIÓN</v>
      </c>
      <c r="C1588" s="85" t="str" cm="1">
        <f t="array" ref="C1588">IFERROR(INDEX('03.Muestra'!$F$8:$F$42,SMALL(IF("Página Web"='03.Muestra'!$D$8:$D$42,ROW('03.Muestra'!$F$8:$F$42)-MIN(ROW('03.Muestra'!$D$8:$D$42))+1,""),ROW()-1576)),"")</f>
        <v>https://www.comunidad.madrid/hospital/santacristina/profesionales/investigacion-0</v>
      </c>
      <c r="D1588" s="99" t="s">
        <v>92</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NOTICIAS</v>
      </c>
      <c r="C1589" s="85" t="str" cm="1">
        <f t="array" ref="C1589">IFERROR(INDEX('03.Muestra'!$F$8:$F$42,SMALL(IF("Página Web"='03.Muestra'!$D$8:$D$42,ROW('03.Muestra'!$F$8:$F$42)-MIN(ROW('03.Muestra'!$D$8:$D$42))+1,""),ROW()-1576)),"")</f>
        <v>https://www.comunidad.madrid/hospital/santacristina/comunicacion/noticias</v>
      </c>
      <c r="D1589" s="99" t="s">
        <v>92</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ACTOS DEL CENTENARIO</v>
      </c>
      <c r="C1590" s="85" t="str" cm="1">
        <f t="array" ref="C1590">IFERROR(INDEX('03.Muestra'!$F$8:$F$42,SMALL(IF("Página Web"='03.Muestra'!$D$8:$D$42,ROW('03.Muestra'!$F$8:$F$42)-MIN(ROW('03.Muestra'!$D$8:$D$42))+1,""),ROW()-1576)),"")</f>
        <v>https://www.comunidad.madrid/hospital/santacristina/nosotros/actos-centenario</v>
      </c>
      <c r="D1590" s="99" t="s">
        <v>92</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ACCESIBILIDAD HOSPITAL</v>
      </c>
      <c r="C1591" s="85" t="str" cm="1">
        <f t="array" ref="C1591">IFERROR(INDEX('03.Muestra'!$F$8:$F$42,SMALL(IF("Página Web"='03.Muestra'!$D$8:$D$42,ROW('03.Muestra'!$F$8:$F$42)-MIN(ROW('03.Muestra'!$D$8:$D$42))+1,""),ROW()-1576)),"")</f>
        <v>https://www.comunidad.madrid/hospital/santacristina/nosotros/accesibilidad-hospital</v>
      </c>
      <c r="D1591" s="99" t="s">
        <v>92</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CARTERA DE SERVICIOS</v>
      </c>
      <c r="C1592" s="85" t="str" cm="1">
        <f t="array" ref="C1592">IFERROR(INDEX('03.Muestra'!$F$8:$F$42,SMALL(IF("Página Web"='03.Muestra'!$D$8:$D$42,ROW('03.Muestra'!$F$8:$F$42)-MIN(ROW('03.Muestra'!$D$8:$D$42))+1,""),ROW()-1576)),"")</f>
        <v>https://www.comunidad.madrid/hospital/santacristina/nosotros/cartera-servicios</v>
      </c>
      <c r="D1592" s="99" t="s">
        <v>92</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CONTACTO</v>
      </c>
      <c r="C1593" s="85" t="str" cm="1">
        <f t="array" ref="C1593">IFERROR(INDEX('03.Muestra'!$F$8:$F$42,SMALL(IF("Página Web"='03.Muestra'!$D$8:$D$42,ROW('03.Muestra'!$F$8:$F$42)-MIN(ROW('03.Muestra'!$D$8:$D$42))+1,""),ROW()-1576)),"")</f>
        <v>https://www.comunidad.madrid/hospital/santacristina/comunicacion/contacto</v>
      </c>
      <c r="D1593" s="99" t="s">
        <v>92</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ACCESIBILIDAD</v>
      </c>
      <c r="C1594" s="85" t="str" cm="1">
        <f t="array" ref="C1594">IFERROR(INDEX('03.Muestra'!$F$8:$F$42,SMALL(IF("Página Web"='03.Muestra'!$D$8:$D$42,ROW('03.Muestra'!$F$8:$F$42)-MIN(ROW('03.Muestra'!$D$8:$D$42))+1,""),ROW()-1576)),"")</f>
        <v>https://www.comunidad.madrid/hospital/santacristina/declaracion-accesibilidad</v>
      </c>
      <c r="D1594" s="99" t="s">
        <v>92</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LEGAL</v>
      </c>
      <c r="C1595" s="85" t="str" cm="1">
        <f t="array" ref="C1595">IFERROR(INDEX('03.Muestra'!$F$8:$F$42,SMALL(IF("Página Web"='03.Muestra'!$D$8:$D$42,ROW('03.Muestra'!$F$8:$F$42)-MIN(ROW('03.Muestra'!$D$8:$D$42))+1,""),ROW()-1576)),"")</f>
        <v>https://www.comunidad.madrid/hospital/santacristina/ciudadanos/aviso-legal-privacidad</v>
      </c>
      <c r="D1595" s="99" t="s">
        <v>92</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MAPA WEB</v>
      </c>
      <c r="C1596" s="85" t="str" cm="1">
        <f t="array" ref="C1596">IFERROR(INDEX('03.Muestra'!$F$8:$F$42,SMALL(IF("Página Web"='03.Muestra'!$D$8:$D$42,ROW('03.Muestra'!$F$8:$F$42)-MIN(ROW('03.Muestra'!$D$8:$D$42))+1,""),ROW()-1576)),"")</f>
        <v>https://www.comunidad.madrid/hospital/santacristina/sitemap</v>
      </c>
      <c r="D1596" s="99" t="s">
        <v>92</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78: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PRINCIPAL</v>
      </c>
      <c r="C1615" s="85" t="str" cm="1">
        <f t="array" ref="C1615">IFERROR(INDEX('03.Muestra'!$F$8:$F$42,SMALL(IF("Página Web"='03.Muestra'!$D$8:$D$42,ROW('03.Muestra'!$F$8:$F$42)-MIN(ROW('03.Muestra'!$D$8:$D$42))+1,""),ROW()-1614)),"")</f>
        <v>https://www.comunidad.madrid/hospital/santacristina/</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https://www.comunidad.madrid/hospital/santacristina/ciudadanos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17</v>
      </c>
      <c r="I1616" s="91">
        <f ca="1">COUNTIF($D1615:INDIRECT("$D" &amp;  SUM(ROW()-1,'03.Muestra'!$D$45)-1),I1615)</f>
        <v>3</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https://www.comunidad.madrid/hospital/santacristina/profesionales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COMUNICACIÓN</v>
      </c>
      <c r="C1618" s="85" t="str" cm="1">
        <f t="array" ref="C1618">IFERROR(INDEX('03.Muestra'!$F$8:$F$42,SMALL(IF("Página Web"='03.Muestra'!$D$8:$D$42,ROW('03.Muestra'!$F$8:$F$42)-MIN(ROW('03.Muestra'!$D$8:$D$42))+1,""),ROW()-1614)),"")</f>
        <v>https://www.comunidad.madrid/hospital/santacristina/comunicacion</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https://www.comunidad.madrid/hospital/santacristina/nosotros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BUSCADOR</v>
      </c>
      <c r="C1620" s="85" t="str" cm="1">
        <f t="array" ref="C1620">IFERROR(INDEX('03.Muestra'!$F$8:$F$42,SMALL(IF("Página Web"='03.Muestra'!$D$8:$D$42,ROW('03.Muestra'!$F$8:$F$42)-MIN(ROW('03.Muestra'!$D$8:$D$42))+1,""),ROW()-1614)),"")</f>
        <v>https://www.comunidad.madrid/hospital/santacristina/buscar?search_api_fulltext=&amp;nombre=</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ATENCIÓN AL PACIENTE</v>
      </c>
      <c r="C1621" s="85" t="str" cm="1">
        <f t="array" ref="C1621">IFERROR(INDEX('03.Muestra'!$F$8:$F$42,SMALL(IF("Página Web"='03.Muestra'!$D$8:$D$42,ROW('03.Muestra'!$F$8:$F$42)-MIN(ROW('03.Muestra'!$D$8:$D$42))+1,""),ROW()-1614)),"")</f>
        <v>https://www.comunidad.madrid/hospital/santacristina/ciudadanos/atencion-paciente</v>
      </c>
      <c r="D1621" s="99" t="s">
        <v>94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ATENCIÓN ESPIRITUAL</v>
      </c>
      <c r="C1622" s="85" t="str" cm="1">
        <f t="array" ref="C1622">IFERROR(INDEX('03.Muestra'!$F$8:$F$42,SMALL(IF("Página Web"='03.Muestra'!$D$8:$D$42,ROW('03.Muestra'!$F$8:$F$42)-MIN(ROW('03.Muestra'!$D$8:$D$42))+1,""),ROW()-1614)),"")</f>
        <v>https://www.comunidad.madrid/hospital/santacristina/ciudadanos/atencion-espiritual-religiosa</v>
      </c>
      <c r="D1622" s="99" t="s">
        <v>94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LOCALIZACIÓN Y ACCESO</v>
      </c>
      <c r="C1623" s="85" t="str" cm="1">
        <f t="array" ref="C1623">IFERROR(INDEX('03.Muestra'!$F$8:$F$42,SMALL(IF("Página Web"='03.Muestra'!$D$8:$D$42,ROW('03.Muestra'!$F$8:$F$42)-MIN(ROW('03.Muestra'!$D$8:$D$42))+1,""),ROW()-1614)),"")</f>
        <v>https://www.comunidad.madrid/hospital/santacristina/ciudadanos/localizacion-acceso</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GUÍAS DE USUARIO</v>
      </c>
      <c r="C1624" s="85" t="str" cm="1">
        <f t="array" ref="C1624">IFERROR(INDEX('03.Muestra'!$F$8:$F$42,SMALL(IF("Página Web"='03.Muestra'!$D$8:$D$42,ROW('03.Muestra'!$F$8:$F$42)-MIN(ROW('03.Muestra'!$D$8:$D$42))+1,""),ROW()-1614)),"")</f>
        <v>https://www.comunidad.madrid/hospital/santacristina/ciudadanos/guias-usuario</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SERVICIOS QUIRÚRGICOS</v>
      </c>
      <c r="C1625" s="85" t="str" cm="1">
        <f t="array" ref="C1625">IFERROR(INDEX('03.Muestra'!$F$8:$F$42,SMALL(IF("Página Web"='03.Muestra'!$D$8:$D$42,ROW('03.Muestra'!$F$8:$F$42)-MIN(ROW('03.Muestra'!$D$8:$D$42))+1,""),ROW()-1614)),"")</f>
        <v>https://www.comunidad.madrid/hospital/santacristina/profesionales/servicios-quirurgicos-0</v>
      </c>
      <c r="D1625" s="99" t="s">
        <v>104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INVESTIGACIÓN</v>
      </c>
      <c r="C1626" s="85" t="str" cm="1">
        <f t="array" ref="C1626">IFERROR(INDEX('03.Muestra'!$F$8:$F$42,SMALL(IF("Página Web"='03.Muestra'!$D$8:$D$42,ROW('03.Muestra'!$F$8:$F$42)-MIN(ROW('03.Muestra'!$D$8:$D$42))+1,""),ROW()-1614)),"")</f>
        <v>https://www.comunidad.madrid/hospital/santacristina/profesionales/investigacion-0</v>
      </c>
      <c r="D1626" s="99" t="s">
        <v>104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NOTICIAS</v>
      </c>
      <c r="C1627" s="85" t="str" cm="1">
        <f t="array" ref="C1627">IFERROR(INDEX('03.Muestra'!$F$8:$F$42,SMALL(IF("Página Web"='03.Muestra'!$D$8:$D$42,ROW('03.Muestra'!$F$8:$F$42)-MIN(ROW('03.Muestra'!$D$8:$D$42))+1,""),ROW()-1614)),"")</f>
        <v>https://www.comunidad.madrid/hospital/santacristina/comunicacion/noticias</v>
      </c>
      <c r="D1627" s="99" t="s">
        <v>104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ACTOS DEL CENTENARIO</v>
      </c>
      <c r="C1628" s="85" t="str" cm="1">
        <f t="array" ref="C1628">IFERROR(INDEX('03.Muestra'!$F$8:$F$42,SMALL(IF("Página Web"='03.Muestra'!$D$8:$D$42,ROW('03.Muestra'!$F$8:$F$42)-MIN(ROW('03.Muestra'!$D$8:$D$42))+1,""),ROW()-1614)),"")</f>
        <v>https://www.comunidad.madrid/hospital/santacristina/nosotros/actos-centenario</v>
      </c>
      <c r="D1628" s="99" t="s">
        <v>104</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ACCESIBILIDAD HOSPITAL</v>
      </c>
      <c r="C1629" s="85" t="str" cm="1">
        <f t="array" ref="C1629">IFERROR(INDEX('03.Muestra'!$F$8:$F$42,SMALL(IF("Página Web"='03.Muestra'!$D$8:$D$42,ROW('03.Muestra'!$F$8:$F$42)-MIN(ROW('03.Muestra'!$D$8:$D$42))+1,""),ROW()-1614)),"")</f>
        <v>https://www.comunidad.madrid/hospital/santacristina/nosotros/accesibilidad-hospital</v>
      </c>
      <c r="D1629" s="99" t="s">
        <v>104</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CARTERA DE SERVICIOS</v>
      </c>
      <c r="C1630" s="85" t="str" cm="1">
        <f t="array" ref="C1630">IFERROR(INDEX('03.Muestra'!$F$8:$F$42,SMALL(IF("Página Web"='03.Muestra'!$D$8:$D$42,ROW('03.Muestra'!$F$8:$F$42)-MIN(ROW('03.Muestra'!$D$8:$D$42))+1,""),ROW()-1614)),"")</f>
        <v>https://www.comunidad.madrid/hospital/santacristina/nosotros/cartera-servicios</v>
      </c>
      <c r="D1630" s="99" t="s">
        <v>104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CONTACTO</v>
      </c>
      <c r="C1631" s="85" t="str" cm="1">
        <f t="array" ref="C1631">IFERROR(INDEX('03.Muestra'!$F$8:$F$42,SMALL(IF("Página Web"='03.Muestra'!$D$8:$D$42,ROW('03.Muestra'!$F$8:$F$42)-MIN(ROW('03.Muestra'!$D$8:$D$42))+1,""),ROW()-1614)),"")</f>
        <v>https://www.comunidad.madrid/hospital/santacristina/comunicacion/contacto</v>
      </c>
      <c r="D1631" s="99" t="s">
        <v>94</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ACCESIBILIDAD</v>
      </c>
      <c r="C1632" s="85" t="str" cm="1">
        <f t="array" ref="C1632">IFERROR(INDEX('03.Muestra'!$F$8:$F$42,SMALL(IF("Página Web"='03.Muestra'!$D$8:$D$42,ROW('03.Muestra'!$F$8:$F$42)-MIN(ROW('03.Muestra'!$D$8:$D$42))+1,""),ROW()-1614)),"")</f>
        <v>https://www.comunidad.madrid/hospital/santacristina/declaracion-accesibilidad</v>
      </c>
      <c r="D1632" s="99" t="s">
        <v>104</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LEGAL</v>
      </c>
      <c r="C1633" s="85" t="str" cm="1">
        <f t="array" ref="C1633">IFERROR(INDEX('03.Muestra'!$F$8:$F$42,SMALL(IF("Página Web"='03.Muestra'!$D$8:$D$42,ROW('03.Muestra'!$F$8:$F$42)-MIN(ROW('03.Muestra'!$D$8:$D$42))+1,""),ROW()-1614)),"")</f>
        <v>https://www.comunidad.madrid/hospital/santacristina/ciudadanos/aviso-legal-privacidad</v>
      </c>
      <c r="D1633" s="99" t="s">
        <v>104</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MAPA WEB</v>
      </c>
      <c r="C1634" s="85" t="str" cm="1">
        <f t="array" ref="C1634">IFERROR(INDEX('03.Muestra'!$F$8:$F$42,SMALL(IF("Página Web"='03.Muestra'!$D$8:$D$42,ROW('03.Muestra'!$F$8:$F$42)-MIN(ROW('03.Muestra'!$D$8:$D$42))+1,""),ROW()-1614)),"")</f>
        <v>https://www.comunidad.madrid/hospital/santacristina/sitemap</v>
      </c>
      <c r="D1634" s="99" t="s">
        <v>104</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16: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PRINCIPAL</v>
      </c>
      <c r="C1653" s="85" t="str" cm="1">
        <f t="array" ref="C1653">IFERROR(INDEX('03.Muestra'!$F$8:$F$42,SMALL(IF("Página Web"='03.Muestra'!$D$8:$D$42,ROW('03.Muestra'!$F$8:$F$42)-MIN(ROW('03.Muestra'!$D$8:$D$42))+1,""),ROW()-1652)),"")</f>
        <v>https://www.comunidad.madrid/hospital/santacristina/</v>
      </c>
      <c r="D1653" s="99" t="s">
        <v>94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https://www.comunidad.madrid/hospital/santacristina/ciudadanos</v>
      </c>
      <c r="D1654" s="99" t="s">
        <v>94</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20</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https://www.comunidad.madrid/hospital/santacristina/profesionales</v>
      </c>
      <c r="D1655" s="99" t="s">
        <v>94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COMUNICACIÓN</v>
      </c>
      <c r="C1656" s="85" t="str" cm="1">
        <f t="array" ref="C1656">IFERROR(INDEX('03.Muestra'!$F$8:$F$42,SMALL(IF("Página Web"='03.Muestra'!$D$8:$D$42,ROW('03.Muestra'!$F$8:$F$42)-MIN(ROW('03.Muestra'!$D$8:$D$42))+1,""),ROW()-1652)),"")</f>
        <v>https://www.comunidad.madrid/hospital/santacristina/comunicacion</v>
      </c>
      <c r="D1656" s="99" t="s">
        <v>94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https://www.comunidad.madrid/hospital/santacristina/nosotros</v>
      </c>
      <c r="D1657" s="99" t="s">
        <v>94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BUSCADOR</v>
      </c>
      <c r="C1658" s="85" t="str" cm="1">
        <f t="array" ref="C1658">IFERROR(INDEX('03.Muestra'!$F$8:$F$42,SMALL(IF("Página Web"='03.Muestra'!$D$8:$D$42,ROW('03.Muestra'!$F$8:$F$42)-MIN(ROW('03.Muestra'!$D$8:$D$42))+1,""),ROW()-1652)),"")</f>
        <v>https://www.comunidad.madrid/hospital/santacristina/buscar?search_api_fulltext=&amp;nombre=</v>
      </c>
      <c r="D1658" s="99" t="s">
        <v>94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ATENCIÓN AL PACIENTE</v>
      </c>
      <c r="C1659" s="85" t="str" cm="1">
        <f t="array" ref="C1659">IFERROR(INDEX('03.Muestra'!$F$8:$F$42,SMALL(IF("Página Web"='03.Muestra'!$D$8:$D$42,ROW('03.Muestra'!$F$8:$F$42)-MIN(ROW('03.Muestra'!$D$8:$D$42))+1,""),ROW()-1652)),"")</f>
        <v>https://www.comunidad.madrid/hospital/santacristina/ciudadanos/atencion-paciente</v>
      </c>
      <c r="D1659" s="99" t="s">
        <v>94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ATENCIÓN ESPIRITUAL</v>
      </c>
      <c r="C1660" s="85" t="str" cm="1">
        <f t="array" ref="C1660">IFERROR(INDEX('03.Muestra'!$F$8:$F$42,SMALL(IF("Página Web"='03.Muestra'!$D$8:$D$42,ROW('03.Muestra'!$F$8:$F$42)-MIN(ROW('03.Muestra'!$D$8:$D$42))+1,""),ROW()-1652)),"")</f>
        <v>https://www.comunidad.madrid/hospital/santacristina/ciudadanos/atencion-espiritual-religiosa</v>
      </c>
      <c r="D1660" s="99" t="s">
        <v>94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LOCALIZACIÓN Y ACCESO</v>
      </c>
      <c r="C1661" s="85" t="str" cm="1">
        <f t="array" ref="C1661">IFERROR(INDEX('03.Muestra'!$F$8:$F$42,SMALL(IF("Página Web"='03.Muestra'!$D$8:$D$42,ROW('03.Muestra'!$F$8:$F$42)-MIN(ROW('03.Muestra'!$D$8:$D$42))+1,""),ROW()-1652)),"")</f>
        <v>https://www.comunidad.madrid/hospital/santacristina/ciudadanos/localizacion-acceso</v>
      </c>
      <c r="D1661" s="99" t="s">
        <v>94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GUÍAS DE USUARIO</v>
      </c>
      <c r="C1662" s="85" t="str" cm="1">
        <f t="array" ref="C1662">IFERROR(INDEX('03.Muestra'!$F$8:$F$42,SMALL(IF("Página Web"='03.Muestra'!$D$8:$D$42,ROW('03.Muestra'!$F$8:$F$42)-MIN(ROW('03.Muestra'!$D$8:$D$42))+1,""),ROW()-1652)),"")</f>
        <v>https://www.comunidad.madrid/hospital/santacristina/ciudadanos/guias-usuario</v>
      </c>
      <c r="D1662" s="99" t="s">
        <v>94</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SERVICIOS QUIRÚRGICOS</v>
      </c>
      <c r="C1663" s="85" t="str" cm="1">
        <f t="array" ref="C1663">IFERROR(INDEX('03.Muestra'!$F$8:$F$42,SMALL(IF("Página Web"='03.Muestra'!$D$8:$D$42,ROW('03.Muestra'!$F$8:$F$42)-MIN(ROW('03.Muestra'!$D$8:$D$42))+1,""),ROW()-1652)),"")</f>
        <v>https://www.comunidad.madrid/hospital/santacristina/profesionales/servicios-quirurgicos-0</v>
      </c>
      <c r="D1663" s="99" t="s">
        <v>94</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INVESTIGACIÓN</v>
      </c>
      <c r="C1664" s="85" t="str" cm="1">
        <f t="array" ref="C1664">IFERROR(INDEX('03.Muestra'!$F$8:$F$42,SMALL(IF("Página Web"='03.Muestra'!$D$8:$D$42,ROW('03.Muestra'!$F$8:$F$42)-MIN(ROW('03.Muestra'!$D$8:$D$42))+1,""),ROW()-1652)),"")</f>
        <v>https://www.comunidad.madrid/hospital/santacristina/profesionales/investigacion-0</v>
      </c>
      <c r="D1664" s="99" t="s">
        <v>94</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NOTICIAS</v>
      </c>
      <c r="C1665" s="85" t="str" cm="1">
        <f t="array" ref="C1665">IFERROR(INDEX('03.Muestra'!$F$8:$F$42,SMALL(IF("Página Web"='03.Muestra'!$D$8:$D$42,ROW('03.Muestra'!$F$8:$F$42)-MIN(ROW('03.Muestra'!$D$8:$D$42))+1,""),ROW()-1652)),"")</f>
        <v>https://www.comunidad.madrid/hospital/santacristina/comunicacion/noticias</v>
      </c>
      <c r="D1665" s="99" t="s">
        <v>94</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ACTOS DEL CENTENARIO</v>
      </c>
      <c r="C1666" s="85" t="str" cm="1">
        <f t="array" ref="C1666">IFERROR(INDEX('03.Muestra'!$F$8:$F$42,SMALL(IF("Página Web"='03.Muestra'!$D$8:$D$42,ROW('03.Muestra'!$F$8:$F$42)-MIN(ROW('03.Muestra'!$D$8:$D$42))+1,""),ROW()-1652)),"")</f>
        <v>https://www.comunidad.madrid/hospital/santacristina/nosotros/actos-centenario</v>
      </c>
      <c r="D1666" s="99" t="s">
        <v>94</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ACCESIBILIDAD HOSPITAL</v>
      </c>
      <c r="C1667" s="85" t="str" cm="1">
        <f t="array" ref="C1667">IFERROR(INDEX('03.Muestra'!$F$8:$F$42,SMALL(IF("Página Web"='03.Muestra'!$D$8:$D$42,ROW('03.Muestra'!$F$8:$F$42)-MIN(ROW('03.Muestra'!$D$8:$D$42))+1,""),ROW()-1652)),"")</f>
        <v>https://www.comunidad.madrid/hospital/santacristina/nosotros/accesibilidad-hospital</v>
      </c>
      <c r="D1667" s="99" t="s">
        <v>94</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CARTERA DE SERVICIOS</v>
      </c>
      <c r="C1668" s="85" t="str" cm="1">
        <f t="array" ref="C1668">IFERROR(INDEX('03.Muestra'!$F$8:$F$42,SMALL(IF("Página Web"='03.Muestra'!$D$8:$D$42,ROW('03.Muestra'!$F$8:$F$42)-MIN(ROW('03.Muestra'!$D$8:$D$42))+1,""),ROW()-1652)),"")</f>
        <v>https://www.comunidad.madrid/hospital/santacristina/nosotros/cartera-servicios</v>
      </c>
      <c r="D1668" s="99" t="s">
        <v>94</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CONTACTO</v>
      </c>
      <c r="C1669" s="85" t="str" cm="1">
        <f t="array" ref="C1669">IFERROR(INDEX('03.Muestra'!$F$8:$F$42,SMALL(IF("Página Web"='03.Muestra'!$D$8:$D$42,ROW('03.Muestra'!$F$8:$F$42)-MIN(ROW('03.Muestra'!$D$8:$D$42))+1,""),ROW()-1652)),"")</f>
        <v>https://www.comunidad.madrid/hospital/santacristina/comunicacion/contacto</v>
      </c>
      <c r="D1669" s="99" t="s">
        <v>94</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ACCESIBILIDAD</v>
      </c>
      <c r="C1670" s="85" t="str" cm="1">
        <f t="array" ref="C1670">IFERROR(INDEX('03.Muestra'!$F$8:$F$42,SMALL(IF("Página Web"='03.Muestra'!$D$8:$D$42,ROW('03.Muestra'!$F$8:$F$42)-MIN(ROW('03.Muestra'!$D$8:$D$42))+1,""),ROW()-1652)),"")</f>
        <v>https://www.comunidad.madrid/hospital/santacristina/declaracion-accesibilidad</v>
      </c>
      <c r="D1670" s="99" t="s">
        <v>94</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LEGAL</v>
      </c>
      <c r="C1671" s="85" t="str" cm="1">
        <f t="array" ref="C1671">IFERROR(INDEX('03.Muestra'!$F$8:$F$42,SMALL(IF("Página Web"='03.Muestra'!$D$8:$D$42,ROW('03.Muestra'!$F$8:$F$42)-MIN(ROW('03.Muestra'!$D$8:$D$42))+1,""),ROW()-1652)),"")</f>
        <v>https://www.comunidad.madrid/hospital/santacristina/ciudadanos/aviso-legal-privacidad</v>
      </c>
      <c r="D1671" s="99" t="s">
        <v>94</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MAPA WEB</v>
      </c>
      <c r="C1672" s="85" t="str" cm="1">
        <f t="array" ref="C1672">IFERROR(INDEX('03.Muestra'!$F$8:$F$42,SMALL(IF("Página Web"='03.Muestra'!$D$8:$D$42,ROW('03.Muestra'!$F$8:$F$42)-MIN(ROW('03.Muestra'!$D$8:$D$42))+1,""),ROW()-1652)),"")</f>
        <v>https://www.comunidad.madrid/hospital/santacristina/sitemap</v>
      </c>
      <c r="D1672" s="99" t="s">
        <v>94</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54: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PRINCIPAL</v>
      </c>
      <c r="C1691" s="85" t="str" cm="1">
        <f t="array" ref="C1691">IFERROR(INDEX('03.Muestra'!$F$8:$F$42,SMALL(IF("Página Web"='03.Muestra'!$D$8:$D$42,ROW('03.Muestra'!$F$8:$F$42)-MIN(ROW('03.Muestra'!$D$8:$D$42))+1,""),ROW()-1690)),"")</f>
        <v>https://www.comunidad.madrid/hospital/santacristina/</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https://www.comunidad.madrid/hospital/santacristina/ciudadanos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17</v>
      </c>
      <c r="I1692" s="91">
        <f ca="1">COUNTIF($D1691:INDIRECT("$D" &amp;  SUM(ROW()-1,'03.Muestra'!$D$45)-1),I1691)</f>
        <v>0</v>
      </c>
      <c r="J1692" s="91">
        <f ca="1">COUNTIF($D1691:INDIRECT("$D" &amp;  SUM(ROW()-1,'03.Muestra'!$D$45)-1),J1691)</f>
        <v>3</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https://www.comunidad.madrid/hospital/santacristina/profesionales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COMUNICACIÓN</v>
      </c>
      <c r="C1694" s="85" t="str" cm="1">
        <f t="array" ref="C1694">IFERROR(INDEX('03.Muestra'!$F$8:$F$42,SMALL(IF("Página Web"='03.Muestra'!$D$8:$D$42,ROW('03.Muestra'!$F$8:$F$42)-MIN(ROW('03.Muestra'!$D$8:$D$42))+1,""),ROW()-1690)),"")</f>
        <v>https://www.comunidad.madrid/hospital/santacristina/comunicacion</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https://www.comunidad.madrid/hospital/santacristina/nosotros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BUSCADOR</v>
      </c>
      <c r="C1696" s="85" t="str" cm="1">
        <f t="array" ref="C1696">IFERROR(INDEX('03.Muestra'!$F$8:$F$42,SMALL(IF("Página Web"='03.Muestra'!$D$8:$D$42,ROW('03.Muestra'!$F$8:$F$42)-MIN(ROW('03.Muestra'!$D$8:$D$42))+1,""),ROW()-1690)),"")</f>
        <v>https://www.comunidad.madrid/hospital/santacristina/buscar?search_api_fulltext=&amp;nombre=</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ATENCIÓN AL PACIENTE</v>
      </c>
      <c r="C1697" s="85" t="str" cm="1">
        <f t="array" ref="C1697">IFERROR(INDEX('03.Muestra'!$F$8:$F$42,SMALL(IF("Página Web"='03.Muestra'!$D$8:$D$42,ROW('03.Muestra'!$F$8:$F$42)-MIN(ROW('03.Muestra'!$D$8:$D$42))+1,""),ROW()-1690)),"")</f>
        <v>https://www.comunidad.madrid/hospital/santacristina/ciudadanos/atencion-paciente</v>
      </c>
      <c r="D1697" s="99" t="s">
        <v>92</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ATENCIÓN ESPIRITUAL</v>
      </c>
      <c r="C1698" s="85" t="str" cm="1">
        <f t="array" ref="C1698">IFERROR(INDEX('03.Muestra'!$F$8:$F$42,SMALL(IF("Página Web"='03.Muestra'!$D$8:$D$42,ROW('03.Muestra'!$F$8:$F$42)-MIN(ROW('03.Muestra'!$D$8:$D$42))+1,""),ROW()-1690)),"")</f>
        <v>https://www.comunidad.madrid/hospital/santacristina/ciudadanos/atencion-espiritual-religiosa</v>
      </c>
      <c r="D1698" s="99" t="s">
        <v>92</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LOCALIZACIÓN Y ACCESO</v>
      </c>
      <c r="C1699" s="85" t="str" cm="1">
        <f t="array" ref="C1699">IFERROR(INDEX('03.Muestra'!$F$8:$F$42,SMALL(IF("Página Web"='03.Muestra'!$D$8:$D$42,ROW('03.Muestra'!$F$8:$F$42)-MIN(ROW('03.Muestra'!$D$8:$D$42))+1,""),ROW()-1690)),"")</f>
        <v>https://www.comunidad.madrid/hospital/santacristina/ciudadanos/localizacion-acceso</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GUÍAS DE USUARIO</v>
      </c>
      <c r="C1700" s="85" t="str" cm="1">
        <f t="array" ref="C1700">IFERROR(INDEX('03.Muestra'!$F$8:$F$42,SMALL(IF("Página Web"='03.Muestra'!$D$8:$D$42,ROW('03.Muestra'!$F$8:$F$42)-MIN(ROW('03.Muestra'!$D$8:$D$42))+1,""),ROW()-1690)),"")</f>
        <v>https://www.comunidad.madrid/hospital/santacristina/ciudadanos/guias-usuario</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SERVICIOS QUIRÚRGICOS</v>
      </c>
      <c r="C1701" s="85" t="str" cm="1">
        <f t="array" ref="C1701">IFERROR(INDEX('03.Muestra'!$F$8:$F$42,SMALL(IF("Página Web"='03.Muestra'!$D$8:$D$42,ROW('03.Muestra'!$F$8:$F$42)-MIN(ROW('03.Muestra'!$D$8:$D$42))+1,""),ROW()-1690)),"")</f>
        <v>https://www.comunidad.madrid/hospital/santacristina/profesionales/servicios-quirurgicos-0</v>
      </c>
      <c r="D1701" s="99" t="s">
        <v>104</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INVESTIGACIÓN</v>
      </c>
      <c r="C1702" s="85" t="str" cm="1">
        <f t="array" ref="C1702">IFERROR(INDEX('03.Muestra'!$F$8:$F$42,SMALL(IF("Página Web"='03.Muestra'!$D$8:$D$42,ROW('03.Muestra'!$F$8:$F$42)-MIN(ROW('03.Muestra'!$D$8:$D$42))+1,""),ROW()-1690)),"")</f>
        <v>https://www.comunidad.madrid/hospital/santacristina/profesionales/investigacion-0</v>
      </c>
      <c r="D1702" s="99" t="s">
        <v>104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NOTICIAS</v>
      </c>
      <c r="C1703" s="85" t="str" cm="1">
        <f t="array" ref="C1703">IFERROR(INDEX('03.Muestra'!$F$8:$F$42,SMALL(IF("Página Web"='03.Muestra'!$D$8:$D$42,ROW('03.Muestra'!$F$8:$F$42)-MIN(ROW('03.Muestra'!$D$8:$D$42))+1,""),ROW()-1690)),"")</f>
        <v>https://www.comunidad.madrid/hospital/santacristina/comunicacion/noticias</v>
      </c>
      <c r="D1703" s="99" t="s">
        <v>104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ACTOS DEL CENTENARIO</v>
      </c>
      <c r="C1704" s="85" t="str" cm="1">
        <f t="array" ref="C1704">IFERROR(INDEX('03.Muestra'!$F$8:$F$42,SMALL(IF("Página Web"='03.Muestra'!$D$8:$D$42,ROW('03.Muestra'!$F$8:$F$42)-MIN(ROW('03.Muestra'!$D$8:$D$42))+1,""),ROW()-1690)),"")</f>
        <v>https://www.comunidad.madrid/hospital/santacristina/nosotros/actos-centenario</v>
      </c>
      <c r="D1704" s="99" t="s">
        <v>104</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ACCESIBILIDAD HOSPITAL</v>
      </c>
      <c r="C1705" s="85" t="str" cm="1">
        <f t="array" ref="C1705">IFERROR(INDEX('03.Muestra'!$F$8:$F$42,SMALL(IF("Página Web"='03.Muestra'!$D$8:$D$42,ROW('03.Muestra'!$F$8:$F$42)-MIN(ROW('03.Muestra'!$D$8:$D$42))+1,""),ROW()-1690)),"")</f>
        <v>https://www.comunidad.madrid/hospital/santacristina/nosotros/accesibilidad-hospital</v>
      </c>
      <c r="D1705" s="99" t="s">
        <v>104</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CARTERA DE SERVICIOS</v>
      </c>
      <c r="C1706" s="85" t="str" cm="1">
        <f t="array" ref="C1706">IFERROR(INDEX('03.Muestra'!$F$8:$F$42,SMALL(IF("Página Web"='03.Muestra'!$D$8:$D$42,ROW('03.Muestra'!$F$8:$F$42)-MIN(ROW('03.Muestra'!$D$8:$D$42))+1,""),ROW()-1690)),"")</f>
        <v>https://www.comunidad.madrid/hospital/santacristina/nosotros/cartera-servicios</v>
      </c>
      <c r="D1706" s="99" t="s">
        <v>104</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CONTACTO</v>
      </c>
      <c r="C1707" s="85" t="str" cm="1">
        <f t="array" ref="C1707">IFERROR(INDEX('03.Muestra'!$F$8:$F$42,SMALL(IF("Página Web"='03.Muestra'!$D$8:$D$42,ROW('03.Muestra'!$F$8:$F$42)-MIN(ROW('03.Muestra'!$D$8:$D$42))+1,""),ROW()-1690)),"")</f>
        <v>https://www.comunidad.madrid/hospital/santacristina/comunicacion/contacto</v>
      </c>
      <c r="D1707" s="99" t="s">
        <v>92</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ACCESIBILIDAD</v>
      </c>
      <c r="C1708" s="85" t="str" cm="1">
        <f t="array" ref="C1708">IFERROR(INDEX('03.Muestra'!$F$8:$F$42,SMALL(IF("Página Web"='03.Muestra'!$D$8:$D$42,ROW('03.Muestra'!$F$8:$F$42)-MIN(ROW('03.Muestra'!$D$8:$D$42))+1,""),ROW()-1690)),"")</f>
        <v>https://www.comunidad.madrid/hospital/santacristina/declaracion-accesibilidad</v>
      </c>
      <c r="D1708" s="99" t="s">
        <v>104</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LEGAL</v>
      </c>
      <c r="C1709" s="85" t="str" cm="1">
        <f t="array" ref="C1709">IFERROR(INDEX('03.Muestra'!$F$8:$F$42,SMALL(IF("Página Web"='03.Muestra'!$D$8:$D$42,ROW('03.Muestra'!$F$8:$F$42)-MIN(ROW('03.Muestra'!$D$8:$D$42))+1,""),ROW()-1690)),"")</f>
        <v>https://www.comunidad.madrid/hospital/santacristina/ciudadanos/aviso-legal-privacidad</v>
      </c>
      <c r="D1709" s="99" t="s">
        <v>104</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MAPA WEB</v>
      </c>
      <c r="C1710" s="85" t="str" cm="1">
        <f t="array" ref="C1710">IFERROR(INDEX('03.Muestra'!$F$8:$F$42,SMALL(IF("Página Web"='03.Muestra'!$D$8:$D$42,ROW('03.Muestra'!$F$8:$F$42)-MIN(ROW('03.Muestra'!$D$8:$D$42))+1,""),ROW()-1690)),"")</f>
        <v>https://www.comunidad.madrid/hospital/santacristina/sitemap</v>
      </c>
      <c r="D1710" s="99" t="s">
        <v>104</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692: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PRINCIPAL</v>
      </c>
      <c r="C1729" s="85" t="str" cm="1">
        <f t="array" ref="C1729">IFERROR(INDEX('03.Muestra'!$F$8:$F$42,SMALL(IF("Página Web"='03.Muestra'!$D$8:$D$42,ROW('03.Muestra'!$F$8:$F$42)-MIN(ROW('03.Muestra'!$D$8:$D$42))+1,""),ROW()-1728)),"")</f>
        <v>https://www.comunidad.madrid/hospital/santacristina/</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https://www.comunidad.madrid/hospital/santacristina/ciudadanos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https://www.comunidad.madrid/hospital/santacristina/profesionales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COMUNICACIÓN</v>
      </c>
      <c r="C1732" s="85" t="str" cm="1">
        <f t="array" ref="C1732">IFERROR(INDEX('03.Muestra'!$F$8:$F$42,SMALL(IF("Página Web"='03.Muestra'!$D$8:$D$42,ROW('03.Muestra'!$F$8:$F$42)-MIN(ROW('03.Muestra'!$D$8:$D$42))+1,""),ROW()-1728)),"")</f>
        <v>https://www.comunidad.madrid/hospital/santacristina/comunicacion</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https://www.comunidad.madrid/hospital/santacristina/nosotros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BUSCADOR</v>
      </c>
      <c r="C1734" s="85" t="str" cm="1">
        <f t="array" ref="C1734">IFERROR(INDEX('03.Muestra'!$F$8:$F$42,SMALL(IF("Página Web"='03.Muestra'!$D$8:$D$42,ROW('03.Muestra'!$F$8:$F$42)-MIN(ROW('03.Muestra'!$D$8:$D$42))+1,""),ROW()-1728)),"")</f>
        <v>https://www.comunidad.madrid/hospital/santacristina/buscar?search_api_fulltext=&amp;nombre=</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ATENCIÓN AL PACIENTE</v>
      </c>
      <c r="C1735" s="85" t="str" cm="1">
        <f t="array" ref="C1735">IFERROR(INDEX('03.Muestra'!$F$8:$F$42,SMALL(IF("Página Web"='03.Muestra'!$D$8:$D$42,ROW('03.Muestra'!$F$8:$F$42)-MIN(ROW('03.Muestra'!$D$8:$D$42))+1,""),ROW()-1728)),"")</f>
        <v>https://www.comunidad.madrid/hospital/santacristina/ciudadanos/atencion-paciente</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ATENCIÓN ESPIRITUAL</v>
      </c>
      <c r="C1736" s="85" t="str" cm="1">
        <f t="array" ref="C1736">IFERROR(INDEX('03.Muestra'!$F$8:$F$42,SMALL(IF("Página Web"='03.Muestra'!$D$8:$D$42,ROW('03.Muestra'!$F$8:$F$42)-MIN(ROW('03.Muestra'!$D$8:$D$42))+1,""),ROW()-1728)),"")</f>
        <v>https://www.comunidad.madrid/hospital/santacristina/ciudadanos/atencion-espiritual-religiosa</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LOCALIZACIÓN Y ACCESO</v>
      </c>
      <c r="C1737" s="85" t="str" cm="1">
        <f t="array" ref="C1737">IFERROR(INDEX('03.Muestra'!$F$8:$F$42,SMALL(IF("Página Web"='03.Muestra'!$D$8:$D$42,ROW('03.Muestra'!$F$8:$F$42)-MIN(ROW('03.Muestra'!$D$8:$D$42))+1,""),ROW()-1728)),"")</f>
        <v>https://www.comunidad.madrid/hospital/santacristina/ciudadanos/localizacion-acceso</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GUÍAS DE USUARIO</v>
      </c>
      <c r="C1738" s="85" t="str" cm="1">
        <f t="array" ref="C1738">IFERROR(INDEX('03.Muestra'!$F$8:$F$42,SMALL(IF("Página Web"='03.Muestra'!$D$8:$D$42,ROW('03.Muestra'!$F$8:$F$42)-MIN(ROW('03.Muestra'!$D$8:$D$42))+1,""),ROW()-1728)),"")</f>
        <v>https://www.comunidad.madrid/hospital/santacristina/ciudadanos/guias-usuario</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SERVICIOS QUIRÚRGICOS</v>
      </c>
      <c r="C1739" s="85" t="str" cm="1">
        <f t="array" ref="C1739">IFERROR(INDEX('03.Muestra'!$F$8:$F$42,SMALL(IF("Página Web"='03.Muestra'!$D$8:$D$42,ROW('03.Muestra'!$F$8:$F$42)-MIN(ROW('03.Muestra'!$D$8:$D$42))+1,""),ROW()-1728)),"")</f>
        <v>https://www.comunidad.madrid/hospital/santacristina/profesionales/servicios-quirurgicos-0</v>
      </c>
      <c r="D1739" s="99" t="s">
        <v>104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INVESTIGACIÓN</v>
      </c>
      <c r="C1740" s="85" t="str" cm="1">
        <f t="array" ref="C1740">IFERROR(INDEX('03.Muestra'!$F$8:$F$42,SMALL(IF("Página Web"='03.Muestra'!$D$8:$D$42,ROW('03.Muestra'!$F$8:$F$42)-MIN(ROW('03.Muestra'!$D$8:$D$42))+1,""),ROW()-1728)),"")</f>
        <v>https://www.comunidad.madrid/hospital/santacristina/profesionales/investigacion-0</v>
      </c>
      <c r="D1740" s="99" t="s">
        <v>104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NOTICIAS</v>
      </c>
      <c r="C1741" s="85" t="str" cm="1">
        <f t="array" ref="C1741">IFERROR(INDEX('03.Muestra'!$F$8:$F$42,SMALL(IF("Página Web"='03.Muestra'!$D$8:$D$42,ROW('03.Muestra'!$F$8:$F$42)-MIN(ROW('03.Muestra'!$D$8:$D$42))+1,""),ROW()-1728)),"")</f>
        <v>https://www.comunidad.madrid/hospital/santacristina/comunicacion/noticias</v>
      </c>
      <c r="D1741" s="99" t="s">
        <v>104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ACTOS DEL CENTENARIO</v>
      </c>
      <c r="C1742" s="85" t="str" cm="1">
        <f t="array" ref="C1742">IFERROR(INDEX('03.Muestra'!$F$8:$F$42,SMALL(IF("Página Web"='03.Muestra'!$D$8:$D$42,ROW('03.Muestra'!$F$8:$F$42)-MIN(ROW('03.Muestra'!$D$8:$D$42))+1,""),ROW()-1728)),"")</f>
        <v>https://www.comunidad.madrid/hospital/santacristina/nosotros/actos-centenario</v>
      </c>
      <c r="D1742" s="99" t="s">
        <v>104</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ACCESIBILIDAD HOSPITAL</v>
      </c>
      <c r="C1743" s="85" t="str" cm="1">
        <f t="array" ref="C1743">IFERROR(INDEX('03.Muestra'!$F$8:$F$42,SMALL(IF("Página Web"='03.Muestra'!$D$8:$D$42,ROW('03.Muestra'!$F$8:$F$42)-MIN(ROW('03.Muestra'!$D$8:$D$42))+1,""),ROW()-1728)),"")</f>
        <v>https://www.comunidad.madrid/hospital/santacristina/nosotros/accesibilidad-hospital</v>
      </c>
      <c r="D1743" s="99" t="s">
        <v>104</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CARTERA DE SERVICIOS</v>
      </c>
      <c r="C1744" s="85" t="str" cm="1">
        <f t="array" ref="C1744">IFERROR(INDEX('03.Muestra'!$F$8:$F$42,SMALL(IF("Página Web"='03.Muestra'!$D$8:$D$42,ROW('03.Muestra'!$F$8:$F$42)-MIN(ROW('03.Muestra'!$D$8:$D$42))+1,""),ROW()-1728)),"")</f>
        <v>https://www.comunidad.madrid/hospital/santacristina/nosotros/cartera-servicios</v>
      </c>
      <c r="D1744" s="99" t="s">
        <v>104</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CONTACTO</v>
      </c>
      <c r="C1745" s="85" t="str" cm="1">
        <f t="array" ref="C1745">IFERROR(INDEX('03.Muestra'!$F$8:$F$42,SMALL(IF("Página Web"='03.Muestra'!$D$8:$D$42,ROW('03.Muestra'!$F$8:$F$42)-MIN(ROW('03.Muestra'!$D$8:$D$42))+1,""),ROW()-1728)),"")</f>
        <v>https://www.comunidad.madrid/hospital/santacristina/comunicacion/contacto</v>
      </c>
      <c r="D1745" s="99" t="s">
        <v>104</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ACCESIBILIDAD</v>
      </c>
      <c r="C1746" s="85" t="str" cm="1">
        <f t="array" ref="C1746">IFERROR(INDEX('03.Muestra'!$F$8:$F$42,SMALL(IF("Página Web"='03.Muestra'!$D$8:$D$42,ROW('03.Muestra'!$F$8:$F$42)-MIN(ROW('03.Muestra'!$D$8:$D$42))+1,""),ROW()-1728)),"")</f>
        <v>https://www.comunidad.madrid/hospital/santacristina/declaracion-accesibilidad</v>
      </c>
      <c r="D1746" s="99" t="s">
        <v>104</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LEGAL</v>
      </c>
      <c r="C1747" s="85" t="str" cm="1">
        <f t="array" ref="C1747">IFERROR(INDEX('03.Muestra'!$F$8:$F$42,SMALL(IF("Página Web"='03.Muestra'!$D$8:$D$42,ROW('03.Muestra'!$F$8:$F$42)-MIN(ROW('03.Muestra'!$D$8:$D$42))+1,""),ROW()-1728)),"")</f>
        <v>https://www.comunidad.madrid/hospital/santacristina/ciudadanos/aviso-legal-privacidad</v>
      </c>
      <c r="D1747" s="99" t="s">
        <v>104</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MAPA WEB</v>
      </c>
      <c r="C1748" s="85" t="str" cm="1">
        <f t="array" ref="C1748">IFERROR(INDEX('03.Muestra'!$F$8:$F$42,SMALL(IF("Página Web"='03.Muestra'!$D$8:$D$42,ROW('03.Muestra'!$F$8:$F$42)-MIN(ROW('03.Muestra'!$D$8:$D$42))+1,""),ROW()-1728)),"")</f>
        <v>https://www.comunidad.madrid/hospital/santacristina/sitemap</v>
      </c>
      <c r="D1748" s="99" t="s">
        <v>104</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30: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PRINCIPAL</v>
      </c>
      <c r="C1767" s="85" t="str" cm="1">
        <f t="array" ref="C1767">IFERROR(INDEX('03.Muestra'!$F$8:$F$42,SMALL(IF("Página Web"='03.Muestra'!$D$8:$D$42,ROW('03.Muestra'!$F$8:$F$42)-MIN(ROW('03.Muestra'!$D$8:$D$42))+1,""),ROW()-1766)),"")</f>
        <v>https://www.comunidad.madrid/hospital/santacristina/</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https://www.comunidad.madrid/hospital/santacristina/ciudadanos</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https://www.comunidad.madrid/hospital/santacristina/profesionales</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COMUNICACIÓN</v>
      </c>
      <c r="C1770" s="85" t="str" cm="1">
        <f t="array" ref="C1770">IFERROR(INDEX('03.Muestra'!$F$8:$F$42,SMALL(IF("Página Web"='03.Muestra'!$D$8:$D$42,ROW('03.Muestra'!$F$8:$F$42)-MIN(ROW('03.Muestra'!$D$8:$D$42))+1,""),ROW()-1766)),"")</f>
        <v>https://www.comunidad.madrid/hospital/santacristina/comunicacion</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https://www.comunidad.madrid/hospital/santacristina/nosotros</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BUSCADOR</v>
      </c>
      <c r="C1772" s="85" t="str" cm="1">
        <f t="array" ref="C1772">IFERROR(INDEX('03.Muestra'!$F$8:$F$42,SMALL(IF("Página Web"='03.Muestra'!$D$8:$D$42,ROW('03.Muestra'!$F$8:$F$42)-MIN(ROW('03.Muestra'!$D$8:$D$42))+1,""),ROW()-1766)),"")</f>
        <v>https://www.comunidad.madrid/hospital/santacristina/buscar?search_api_fulltext=&amp;nombre=</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ATENCIÓN AL PACIENTE</v>
      </c>
      <c r="C1773" s="85" t="str" cm="1">
        <f t="array" ref="C1773">IFERROR(INDEX('03.Muestra'!$F$8:$F$42,SMALL(IF("Página Web"='03.Muestra'!$D$8:$D$42,ROW('03.Muestra'!$F$8:$F$42)-MIN(ROW('03.Muestra'!$D$8:$D$42))+1,""),ROW()-1766)),"")</f>
        <v>https://www.comunidad.madrid/hospital/santacristina/ciudadanos/atencion-paciente</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ATENCIÓN ESPIRITUAL</v>
      </c>
      <c r="C1774" s="85" t="str" cm="1">
        <f t="array" ref="C1774">IFERROR(INDEX('03.Muestra'!$F$8:$F$42,SMALL(IF("Página Web"='03.Muestra'!$D$8:$D$42,ROW('03.Muestra'!$F$8:$F$42)-MIN(ROW('03.Muestra'!$D$8:$D$42))+1,""),ROW()-1766)),"")</f>
        <v>https://www.comunidad.madrid/hospital/santacristina/ciudadanos/atencion-espiritual-religiosa</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LOCALIZACIÓN Y ACCESO</v>
      </c>
      <c r="C1775" s="85" t="str" cm="1">
        <f t="array" ref="C1775">IFERROR(INDEX('03.Muestra'!$F$8:$F$42,SMALL(IF("Página Web"='03.Muestra'!$D$8:$D$42,ROW('03.Muestra'!$F$8:$F$42)-MIN(ROW('03.Muestra'!$D$8:$D$42))+1,""),ROW()-1766)),"")</f>
        <v>https://www.comunidad.madrid/hospital/santacristina/ciudadanos/localizacion-acceso</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GUÍAS DE USUARIO</v>
      </c>
      <c r="C1776" s="85" t="str" cm="1">
        <f t="array" ref="C1776">IFERROR(INDEX('03.Muestra'!$F$8:$F$42,SMALL(IF("Página Web"='03.Muestra'!$D$8:$D$42,ROW('03.Muestra'!$F$8:$F$42)-MIN(ROW('03.Muestra'!$D$8:$D$42))+1,""),ROW()-1766)),"")</f>
        <v>https://www.comunidad.madrid/hospital/santacristina/ciudadanos/guias-usuario</v>
      </c>
      <c r="D1776" s="99" t="s">
        <v>104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SERVICIOS QUIRÚRGICOS</v>
      </c>
      <c r="C1777" s="85" t="str" cm="1">
        <f t="array" ref="C1777">IFERROR(INDEX('03.Muestra'!$F$8:$F$42,SMALL(IF("Página Web"='03.Muestra'!$D$8:$D$42,ROW('03.Muestra'!$F$8:$F$42)-MIN(ROW('03.Muestra'!$D$8:$D$42))+1,""),ROW()-1766)),"")</f>
        <v>https://www.comunidad.madrid/hospital/santacristina/profesionales/servicios-quirurgicos-0</v>
      </c>
      <c r="D1777" s="99" t="s">
        <v>104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INVESTIGACIÓN</v>
      </c>
      <c r="C1778" s="85" t="str" cm="1">
        <f t="array" ref="C1778">IFERROR(INDEX('03.Muestra'!$F$8:$F$42,SMALL(IF("Página Web"='03.Muestra'!$D$8:$D$42,ROW('03.Muestra'!$F$8:$F$42)-MIN(ROW('03.Muestra'!$D$8:$D$42))+1,""),ROW()-1766)),"")</f>
        <v>https://www.comunidad.madrid/hospital/santacristina/profesionales/investigacion-0</v>
      </c>
      <c r="D1778" s="99" t="s">
        <v>104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NOTICIAS</v>
      </c>
      <c r="C1779" s="85" t="str" cm="1">
        <f t="array" ref="C1779">IFERROR(INDEX('03.Muestra'!$F$8:$F$42,SMALL(IF("Página Web"='03.Muestra'!$D$8:$D$42,ROW('03.Muestra'!$F$8:$F$42)-MIN(ROW('03.Muestra'!$D$8:$D$42))+1,""),ROW()-1766)),"")</f>
        <v>https://www.comunidad.madrid/hospital/santacristina/comunicacion/noticias</v>
      </c>
      <c r="D1779" s="99" t="s">
        <v>104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ACTOS DEL CENTENARIO</v>
      </c>
      <c r="C1780" s="85" t="str" cm="1">
        <f t="array" ref="C1780">IFERROR(INDEX('03.Muestra'!$F$8:$F$42,SMALL(IF("Página Web"='03.Muestra'!$D$8:$D$42,ROW('03.Muestra'!$F$8:$F$42)-MIN(ROW('03.Muestra'!$D$8:$D$42))+1,""),ROW()-1766)),"")</f>
        <v>https://www.comunidad.madrid/hospital/santacristina/nosotros/actos-centenario</v>
      </c>
      <c r="D1780" s="99" t="s">
        <v>104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ACCESIBILIDAD HOSPITAL</v>
      </c>
      <c r="C1781" s="85" t="str" cm="1">
        <f t="array" ref="C1781">IFERROR(INDEX('03.Muestra'!$F$8:$F$42,SMALL(IF("Página Web"='03.Muestra'!$D$8:$D$42,ROW('03.Muestra'!$F$8:$F$42)-MIN(ROW('03.Muestra'!$D$8:$D$42))+1,""),ROW()-1766)),"")</f>
        <v>https://www.comunidad.madrid/hospital/santacristina/nosotros/accesibilidad-hospital</v>
      </c>
      <c r="D1781" s="99" t="s">
        <v>104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CARTERA DE SERVICIOS</v>
      </c>
      <c r="C1782" s="85" t="str" cm="1">
        <f t="array" ref="C1782">IFERROR(INDEX('03.Muestra'!$F$8:$F$42,SMALL(IF("Página Web"='03.Muestra'!$D$8:$D$42,ROW('03.Muestra'!$F$8:$F$42)-MIN(ROW('03.Muestra'!$D$8:$D$42))+1,""),ROW()-1766)),"")</f>
        <v>https://www.comunidad.madrid/hospital/santacristina/nosotros/cartera-servicios</v>
      </c>
      <c r="D1782" s="99" t="s">
        <v>104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CONTACTO</v>
      </c>
      <c r="C1783" s="85" t="str" cm="1">
        <f t="array" ref="C1783">IFERROR(INDEX('03.Muestra'!$F$8:$F$42,SMALL(IF("Página Web"='03.Muestra'!$D$8:$D$42,ROW('03.Muestra'!$F$8:$F$42)-MIN(ROW('03.Muestra'!$D$8:$D$42))+1,""),ROW()-1766)),"")</f>
        <v>https://www.comunidad.madrid/hospital/santacristina/comunicacion/contacto</v>
      </c>
      <c r="D1783" s="99" t="s">
        <v>104</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ACCESIBILIDAD</v>
      </c>
      <c r="C1784" s="85" t="str" cm="1">
        <f t="array" ref="C1784">IFERROR(INDEX('03.Muestra'!$F$8:$F$42,SMALL(IF("Página Web"='03.Muestra'!$D$8:$D$42,ROW('03.Muestra'!$F$8:$F$42)-MIN(ROW('03.Muestra'!$D$8:$D$42))+1,""),ROW()-1766)),"")</f>
        <v>https://www.comunidad.madrid/hospital/santacristina/declaracion-accesibilidad</v>
      </c>
      <c r="D1784" s="99" t="s">
        <v>104</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LEGAL</v>
      </c>
      <c r="C1785" s="85" t="str" cm="1">
        <f t="array" ref="C1785">IFERROR(INDEX('03.Muestra'!$F$8:$F$42,SMALL(IF("Página Web"='03.Muestra'!$D$8:$D$42,ROW('03.Muestra'!$F$8:$F$42)-MIN(ROW('03.Muestra'!$D$8:$D$42))+1,""),ROW()-1766)),"")</f>
        <v>https://www.comunidad.madrid/hospital/santacristina/ciudadanos/aviso-legal-privacidad</v>
      </c>
      <c r="D1785" s="99" t="s">
        <v>104</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MAPA WEB</v>
      </c>
      <c r="C1786" s="85" t="str" cm="1">
        <f t="array" ref="C1786">IFERROR(INDEX('03.Muestra'!$F$8:$F$42,SMALL(IF("Página Web"='03.Muestra'!$D$8:$D$42,ROW('03.Muestra'!$F$8:$F$42)-MIN(ROW('03.Muestra'!$D$8:$D$42))+1,""),ROW()-1766)),"")</f>
        <v>https://www.comunidad.madrid/hospital/santacristina/sitemap</v>
      </c>
      <c r="D1786" s="99" t="s">
        <v>104</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68: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PRINCIPAL</v>
      </c>
      <c r="C1805" s="85" t="str" cm="1">
        <f t="array" ref="C1805">IFERROR(INDEX('03.Muestra'!$F$8:$F$42,SMALL(IF("Página Web"='03.Muestra'!$D$8:$D$42,ROW('03.Muestra'!$F$8:$F$42)-MIN(ROW('03.Muestra'!$D$8:$D$42))+1,""),ROW()-1804)),"")</f>
        <v>https://www.comunidad.madrid/hospital/santacristina/</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https://www.comunidad.madrid/hospital/santacristina/ciudadanos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19</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https://www.comunidad.madrid/hospital/santacristina/profesionales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COMUNICACIÓN</v>
      </c>
      <c r="C1808" s="85" t="str" cm="1">
        <f t="array" ref="C1808">IFERROR(INDEX('03.Muestra'!$F$8:$F$42,SMALL(IF("Página Web"='03.Muestra'!$D$8:$D$42,ROW('03.Muestra'!$F$8:$F$42)-MIN(ROW('03.Muestra'!$D$8:$D$42))+1,""),ROW()-1804)),"")</f>
        <v>https://www.comunidad.madrid/hospital/santacristina/comunicacion</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https://www.comunidad.madrid/hospital/santacristina/nosotros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BUSCADOR</v>
      </c>
      <c r="C1810" s="85" t="str" cm="1">
        <f t="array" ref="C1810">IFERROR(INDEX('03.Muestra'!$F$8:$F$42,SMALL(IF("Página Web"='03.Muestra'!$D$8:$D$42,ROW('03.Muestra'!$F$8:$F$42)-MIN(ROW('03.Muestra'!$D$8:$D$42))+1,""),ROW()-1804)),"")</f>
        <v>https://www.comunidad.madrid/hospital/santacristina/buscar?search_api_fulltext=&amp;nombre=</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ATENCIÓN AL PACIENTE</v>
      </c>
      <c r="C1811" s="85" t="str" cm="1">
        <f t="array" ref="C1811">IFERROR(INDEX('03.Muestra'!$F$8:$F$42,SMALL(IF("Página Web"='03.Muestra'!$D$8:$D$42,ROW('03.Muestra'!$F$8:$F$42)-MIN(ROW('03.Muestra'!$D$8:$D$42))+1,""),ROW()-1804)),"")</f>
        <v>https://www.comunidad.madrid/hospital/santacristina/ciudadanos/atencion-paciente</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ATENCIÓN ESPIRITUAL</v>
      </c>
      <c r="C1812" s="85" t="str" cm="1">
        <f t="array" ref="C1812">IFERROR(INDEX('03.Muestra'!$F$8:$F$42,SMALL(IF("Página Web"='03.Muestra'!$D$8:$D$42,ROW('03.Muestra'!$F$8:$F$42)-MIN(ROW('03.Muestra'!$D$8:$D$42))+1,""),ROW()-1804)),"")</f>
        <v>https://www.comunidad.madrid/hospital/santacristina/ciudadanos/atencion-espiritual-religiosa</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LOCALIZACIÓN Y ACCESO</v>
      </c>
      <c r="C1813" s="85" t="str" cm="1">
        <f t="array" ref="C1813">IFERROR(INDEX('03.Muestra'!$F$8:$F$42,SMALL(IF("Página Web"='03.Muestra'!$D$8:$D$42,ROW('03.Muestra'!$F$8:$F$42)-MIN(ROW('03.Muestra'!$D$8:$D$42))+1,""),ROW()-1804)),"")</f>
        <v>https://www.comunidad.madrid/hospital/santacristina/ciudadanos/localizacion-acceso</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GUÍAS DE USUARIO</v>
      </c>
      <c r="C1814" s="85" t="str" cm="1">
        <f t="array" ref="C1814">IFERROR(INDEX('03.Muestra'!$F$8:$F$42,SMALL(IF("Página Web"='03.Muestra'!$D$8:$D$42,ROW('03.Muestra'!$F$8:$F$42)-MIN(ROW('03.Muestra'!$D$8:$D$42))+1,""),ROW()-1804)),"")</f>
        <v>https://www.comunidad.madrid/hospital/santacristina/ciudadanos/guias-usuario</v>
      </c>
      <c r="D1814" s="99" t="s">
        <v>92</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SERVICIOS QUIRÚRGICOS</v>
      </c>
      <c r="C1815" s="85" t="str" cm="1">
        <f t="array" ref="C1815">IFERROR(INDEX('03.Muestra'!$F$8:$F$42,SMALL(IF("Página Web"='03.Muestra'!$D$8:$D$42,ROW('03.Muestra'!$F$8:$F$42)-MIN(ROW('03.Muestra'!$D$8:$D$42))+1,""),ROW()-1804)),"")</f>
        <v>https://www.comunidad.madrid/hospital/santacristina/profesionales/servicios-quirurgicos-0</v>
      </c>
      <c r="D1815" s="99" t="s">
        <v>92</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INVESTIGACIÓN</v>
      </c>
      <c r="C1816" s="85" t="str" cm="1">
        <f t="array" ref="C1816">IFERROR(INDEX('03.Muestra'!$F$8:$F$42,SMALL(IF("Página Web"='03.Muestra'!$D$8:$D$42,ROW('03.Muestra'!$F$8:$F$42)-MIN(ROW('03.Muestra'!$D$8:$D$42))+1,""),ROW()-1804)),"")</f>
        <v>https://www.comunidad.madrid/hospital/santacristina/profesionales/investigacion-0</v>
      </c>
      <c r="D1816" s="99" t="s">
        <v>92</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NOTICIAS</v>
      </c>
      <c r="C1817" s="85" t="str" cm="1">
        <f t="array" ref="C1817">IFERROR(INDEX('03.Muestra'!$F$8:$F$42,SMALL(IF("Página Web"='03.Muestra'!$D$8:$D$42,ROW('03.Muestra'!$F$8:$F$42)-MIN(ROW('03.Muestra'!$D$8:$D$42))+1,""),ROW()-1804)),"")</f>
        <v>https://www.comunidad.madrid/hospital/santacristina/comunicacion/noticias</v>
      </c>
      <c r="D1817" s="99" t="s">
        <v>92</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ACTOS DEL CENTENARIO</v>
      </c>
      <c r="C1818" s="85" t="str" cm="1">
        <f t="array" ref="C1818">IFERROR(INDEX('03.Muestra'!$F$8:$F$42,SMALL(IF("Página Web"='03.Muestra'!$D$8:$D$42,ROW('03.Muestra'!$F$8:$F$42)-MIN(ROW('03.Muestra'!$D$8:$D$42))+1,""),ROW()-1804)),"")</f>
        <v>https://www.comunidad.madrid/hospital/santacristina/nosotros/actos-centenario</v>
      </c>
      <c r="D1818" s="99" t="s">
        <v>92</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ACCESIBILIDAD HOSPITAL</v>
      </c>
      <c r="C1819" s="85" t="str" cm="1">
        <f t="array" ref="C1819">IFERROR(INDEX('03.Muestra'!$F$8:$F$42,SMALL(IF("Página Web"='03.Muestra'!$D$8:$D$42,ROW('03.Muestra'!$F$8:$F$42)-MIN(ROW('03.Muestra'!$D$8:$D$42))+1,""),ROW()-1804)),"")</f>
        <v>https://www.comunidad.madrid/hospital/santacristina/nosotros/accesibilidad-hospital</v>
      </c>
      <c r="D1819" s="99" t="s">
        <v>94</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CARTERA DE SERVICIOS</v>
      </c>
      <c r="C1820" s="85" t="str" cm="1">
        <f t="array" ref="C1820">IFERROR(INDEX('03.Muestra'!$F$8:$F$42,SMALL(IF("Página Web"='03.Muestra'!$D$8:$D$42,ROW('03.Muestra'!$F$8:$F$42)-MIN(ROW('03.Muestra'!$D$8:$D$42))+1,""),ROW()-1804)),"")</f>
        <v>https://www.comunidad.madrid/hospital/santacristina/nosotros/cartera-servicios</v>
      </c>
      <c r="D1820" s="99" t="s">
        <v>92</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CONTACTO</v>
      </c>
      <c r="C1821" s="85" t="str" cm="1">
        <f t="array" ref="C1821">IFERROR(INDEX('03.Muestra'!$F$8:$F$42,SMALL(IF("Página Web"='03.Muestra'!$D$8:$D$42,ROW('03.Muestra'!$F$8:$F$42)-MIN(ROW('03.Muestra'!$D$8:$D$42))+1,""),ROW()-1804)),"")</f>
        <v>https://www.comunidad.madrid/hospital/santacristina/comunicacion/contacto</v>
      </c>
      <c r="D1821" s="99" t="s">
        <v>92</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ACCESIBILIDAD</v>
      </c>
      <c r="C1822" s="85" t="str" cm="1">
        <f t="array" ref="C1822">IFERROR(INDEX('03.Muestra'!$F$8:$F$42,SMALL(IF("Página Web"='03.Muestra'!$D$8:$D$42,ROW('03.Muestra'!$F$8:$F$42)-MIN(ROW('03.Muestra'!$D$8:$D$42))+1,""),ROW()-1804)),"")</f>
        <v>https://www.comunidad.madrid/hospital/santacristina/declaracion-accesibilidad</v>
      </c>
      <c r="D1822" s="99" t="s">
        <v>92</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LEGAL</v>
      </c>
      <c r="C1823" s="85" t="str" cm="1">
        <f t="array" ref="C1823">IFERROR(INDEX('03.Muestra'!$F$8:$F$42,SMALL(IF("Página Web"='03.Muestra'!$D$8:$D$42,ROW('03.Muestra'!$F$8:$F$42)-MIN(ROW('03.Muestra'!$D$8:$D$42))+1,""),ROW()-1804)),"")</f>
        <v>https://www.comunidad.madrid/hospital/santacristina/ciudadanos/aviso-legal-privacidad</v>
      </c>
      <c r="D1823" s="99" t="s">
        <v>92</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MAPA WEB</v>
      </c>
      <c r="C1824" s="85" t="str" cm="1">
        <f t="array" ref="C1824">IFERROR(INDEX('03.Muestra'!$F$8:$F$42,SMALL(IF("Página Web"='03.Muestra'!$D$8:$D$42,ROW('03.Muestra'!$F$8:$F$42)-MIN(ROW('03.Muestra'!$D$8:$D$42))+1,""),ROW()-1804)),"")</f>
        <v>https://www.comunidad.madrid/hospital/santacristina/sitemap</v>
      </c>
      <c r="D1824" s="99" t="s">
        <v>92</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06: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PRINCIPAL</v>
      </c>
      <c r="C1843" s="85" t="str" cm="1">
        <f t="array" ref="C1843">IFERROR(INDEX('03.Muestra'!$F$8:$F$42,SMALL(IF("Página Web"='03.Muestra'!$D$8:$D$42,ROW('03.Muestra'!$F$8:$F$42)-MIN(ROW('03.Muestra'!$D$8:$D$42))+1,""),ROW()-1842)),"")</f>
        <v>https://www.comunidad.madrid/hospital/santacristina/</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https://www.comunidad.madrid/hospital/santacristina/ciudadanos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17</v>
      </c>
      <c r="I1844" s="91">
        <f ca="1">COUNTIF($D1843:INDIRECT("$D" &amp;  SUM(ROW()-1,'03.Muestra'!$D$45)-1),I1843)</f>
        <v>0</v>
      </c>
      <c r="J1844" s="91">
        <f ca="1">COUNTIF($D1843:INDIRECT("$D" &amp;  SUM(ROW()-1,'03.Muestra'!$D$45)-1),J1843)</f>
        <v>3</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https://www.comunidad.madrid/hospital/santacristina/profesionales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COMUNICACIÓN</v>
      </c>
      <c r="C1846" s="85" t="str" cm="1">
        <f t="array" ref="C1846">IFERROR(INDEX('03.Muestra'!$F$8:$F$42,SMALL(IF("Página Web"='03.Muestra'!$D$8:$D$42,ROW('03.Muestra'!$F$8:$F$42)-MIN(ROW('03.Muestra'!$D$8:$D$42))+1,""),ROW()-1842)),"")</f>
        <v>https://www.comunidad.madrid/hospital/santacristina/comunicacion</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https://www.comunidad.madrid/hospital/santacristina/nosotros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BUSCADOR</v>
      </c>
      <c r="C1848" s="85" t="str" cm="1">
        <f t="array" ref="C1848">IFERROR(INDEX('03.Muestra'!$F$8:$F$42,SMALL(IF("Página Web"='03.Muestra'!$D$8:$D$42,ROW('03.Muestra'!$F$8:$F$42)-MIN(ROW('03.Muestra'!$D$8:$D$42))+1,""),ROW()-1842)),"")</f>
        <v>https://www.comunidad.madrid/hospital/santacristina/buscar?search_api_fulltext=&amp;nombre=</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ATENCIÓN AL PACIENTE</v>
      </c>
      <c r="C1849" s="85" t="str" cm="1">
        <f t="array" ref="C1849">IFERROR(INDEX('03.Muestra'!$F$8:$F$42,SMALL(IF("Página Web"='03.Muestra'!$D$8:$D$42,ROW('03.Muestra'!$F$8:$F$42)-MIN(ROW('03.Muestra'!$D$8:$D$42))+1,""),ROW()-1842)),"")</f>
        <v>https://www.comunidad.madrid/hospital/santacristina/ciudadanos/atencion-paciente</v>
      </c>
      <c r="D1849" s="99" t="s">
        <v>92</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ATENCIÓN ESPIRITUAL</v>
      </c>
      <c r="C1850" s="85" t="str" cm="1">
        <f t="array" ref="C1850">IFERROR(INDEX('03.Muestra'!$F$8:$F$42,SMALL(IF("Página Web"='03.Muestra'!$D$8:$D$42,ROW('03.Muestra'!$F$8:$F$42)-MIN(ROW('03.Muestra'!$D$8:$D$42))+1,""),ROW()-1842)),"")</f>
        <v>https://www.comunidad.madrid/hospital/santacristina/ciudadanos/atencion-espiritual-religiosa</v>
      </c>
      <c r="D1850" s="99" t="s">
        <v>92</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LOCALIZACIÓN Y ACCESO</v>
      </c>
      <c r="C1851" s="85" t="str" cm="1">
        <f t="array" ref="C1851">IFERROR(INDEX('03.Muestra'!$F$8:$F$42,SMALL(IF("Página Web"='03.Muestra'!$D$8:$D$42,ROW('03.Muestra'!$F$8:$F$42)-MIN(ROW('03.Muestra'!$D$8:$D$42))+1,""),ROW()-1842)),"")</f>
        <v>https://www.comunidad.madrid/hospital/santacristina/ciudadanos/localizacion-acceso</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GUÍAS DE USUARIO</v>
      </c>
      <c r="C1852" s="85" t="str" cm="1">
        <f t="array" ref="C1852">IFERROR(INDEX('03.Muestra'!$F$8:$F$42,SMALL(IF("Página Web"='03.Muestra'!$D$8:$D$42,ROW('03.Muestra'!$F$8:$F$42)-MIN(ROW('03.Muestra'!$D$8:$D$42))+1,""),ROW()-1842)),"")</f>
        <v>https://www.comunidad.madrid/hospital/santacristina/ciudadanos/guias-usuario</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SERVICIOS QUIRÚRGICOS</v>
      </c>
      <c r="C1853" s="85" t="str" cm="1">
        <f t="array" ref="C1853">IFERROR(INDEX('03.Muestra'!$F$8:$F$42,SMALL(IF("Página Web"='03.Muestra'!$D$8:$D$42,ROW('03.Muestra'!$F$8:$F$42)-MIN(ROW('03.Muestra'!$D$8:$D$42))+1,""),ROW()-1842)),"")</f>
        <v>https://www.comunidad.madrid/hospital/santacristina/profesionales/servicios-quirurgicos-0</v>
      </c>
      <c r="D1853" s="99" t="s">
        <v>104</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INVESTIGACIÓN</v>
      </c>
      <c r="C1854" s="85" t="str" cm="1">
        <f t="array" ref="C1854">IFERROR(INDEX('03.Muestra'!$F$8:$F$42,SMALL(IF("Página Web"='03.Muestra'!$D$8:$D$42,ROW('03.Muestra'!$F$8:$F$42)-MIN(ROW('03.Muestra'!$D$8:$D$42))+1,""),ROW()-1842)),"")</f>
        <v>https://www.comunidad.madrid/hospital/santacristina/profesionales/investigacion-0</v>
      </c>
      <c r="D1854" s="99" t="s">
        <v>104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NOTICIAS</v>
      </c>
      <c r="C1855" s="85" t="str" cm="1">
        <f t="array" ref="C1855">IFERROR(INDEX('03.Muestra'!$F$8:$F$42,SMALL(IF("Página Web"='03.Muestra'!$D$8:$D$42,ROW('03.Muestra'!$F$8:$F$42)-MIN(ROW('03.Muestra'!$D$8:$D$42))+1,""),ROW()-1842)),"")</f>
        <v>https://www.comunidad.madrid/hospital/santacristina/comunicacion/noticias</v>
      </c>
      <c r="D1855" s="99" t="s">
        <v>104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ACTOS DEL CENTENARIO</v>
      </c>
      <c r="C1856" s="85" t="str" cm="1">
        <f t="array" ref="C1856">IFERROR(INDEX('03.Muestra'!$F$8:$F$42,SMALL(IF("Página Web"='03.Muestra'!$D$8:$D$42,ROW('03.Muestra'!$F$8:$F$42)-MIN(ROW('03.Muestra'!$D$8:$D$42))+1,""),ROW()-1842)),"")</f>
        <v>https://www.comunidad.madrid/hospital/santacristina/nosotros/actos-centenario</v>
      </c>
      <c r="D1856" s="99" t="s">
        <v>104</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ACCESIBILIDAD HOSPITAL</v>
      </c>
      <c r="C1857" s="85" t="str" cm="1">
        <f t="array" ref="C1857">IFERROR(INDEX('03.Muestra'!$F$8:$F$42,SMALL(IF("Página Web"='03.Muestra'!$D$8:$D$42,ROW('03.Muestra'!$F$8:$F$42)-MIN(ROW('03.Muestra'!$D$8:$D$42))+1,""),ROW()-1842)),"")</f>
        <v>https://www.comunidad.madrid/hospital/santacristina/nosotros/accesibilidad-hospital</v>
      </c>
      <c r="D1857" s="99" t="s">
        <v>104</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CARTERA DE SERVICIOS</v>
      </c>
      <c r="C1858" s="85" t="str" cm="1">
        <f t="array" ref="C1858">IFERROR(INDEX('03.Muestra'!$F$8:$F$42,SMALL(IF("Página Web"='03.Muestra'!$D$8:$D$42,ROW('03.Muestra'!$F$8:$F$42)-MIN(ROW('03.Muestra'!$D$8:$D$42))+1,""),ROW()-1842)),"")</f>
        <v>https://www.comunidad.madrid/hospital/santacristina/nosotros/cartera-servicios</v>
      </c>
      <c r="D1858" s="99" t="s">
        <v>104</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CONTACTO</v>
      </c>
      <c r="C1859" s="85" t="str" cm="1">
        <f t="array" ref="C1859">IFERROR(INDEX('03.Muestra'!$F$8:$F$42,SMALL(IF("Página Web"='03.Muestra'!$D$8:$D$42,ROW('03.Muestra'!$F$8:$F$42)-MIN(ROW('03.Muestra'!$D$8:$D$42))+1,""),ROW()-1842)),"")</f>
        <v>https://www.comunidad.madrid/hospital/santacristina/comunicacion/contacto</v>
      </c>
      <c r="D1859" s="99" t="s">
        <v>92</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ACCESIBILIDAD</v>
      </c>
      <c r="C1860" s="85" t="str" cm="1">
        <f t="array" ref="C1860">IFERROR(INDEX('03.Muestra'!$F$8:$F$42,SMALL(IF("Página Web"='03.Muestra'!$D$8:$D$42,ROW('03.Muestra'!$F$8:$F$42)-MIN(ROW('03.Muestra'!$D$8:$D$42))+1,""),ROW()-1842)),"")</f>
        <v>https://www.comunidad.madrid/hospital/santacristina/declaracion-accesibilidad</v>
      </c>
      <c r="D1860" s="99" t="s">
        <v>104</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LEGAL</v>
      </c>
      <c r="C1861" s="85" t="str" cm="1">
        <f t="array" ref="C1861">IFERROR(INDEX('03.Muestra'!$F$8:$F$42,SMALL(IF("Página Web"='03.Muestra'!$D$8:$D$42,ROW('03.Muestra'!$F$8:$F$42)-MIN(ROW('03.Muestra'!$D$8:$D$42))+1,""),ROW()-1842)),"")</f>
        <v>https://www.comunidad.madrid/hospital/santacristina/ciudadanos/aviso-legal-privacidad</v>
      </c>
      <c r="D1861" s="99" t="s">
        <v>104</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MAPA WEB</v>
      </c>
      <c r="C1862" s="85" t="str" cm="1">
        <f t="array" ref="C1862">IFERROR(INDEX('03.Muestra'!$F$8:$F$42,SMALL(IF("Página Web"='03.Muestra'!$D$8:$D$42,ROW('03.Muestra'!$F$8:$F$42)-MIN(ROW('03.Muestra'!$D$8:$D$42))+1,""),ROW()-1842)),"")</f>
        <v>https://www.comunidad.madrid/hospital/santacristina/sitemap</v>
      </c>
      <c r="D1862" s="99" t="s">
        <v>104</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44: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PRINCIPAL</v>
      </c>
      <c r="C1881" s="85" t="str" cm="1">
        <f t="array" ref="C1881">IFERROR(INDEX('03.Muestra'!$F$8:$F$42,SMALL(IF("Página Web"='03.Muestra'!$D$8:$D$42,ROW('03.Muestra'!$F$8:$F$42)-MIN(ROW('03.Muestra'!$D$8:$D$42))+1,""),ROW()-1880)),"")</f>
        <v>https://www.comunidad.madrid/hospital/santacristina/</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https://www.comunidad.madrid/hospital/santacristina/ciudadanos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https://www.comunidad.madrid/hospital/santacristina/profesionales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COMUNICACIÓN</v>
      </c>
      <c r="C1884" s="85" t="str" cm="1">
        <f t="array" ref="C1884">IFERROR(INDEX('03.Muestra'!$F$8:$F$42,SMALL(IF("Página Web"='03.Muestra'!$D$8:$D$42,ROW('03.Muestra'!$F$8:$F$42)-MIN(ROW('03.Muestra'!$D$8:$D$42))+1,""),ROW()-1880)),"")</f>
        <v>https://www.comunidad.madrid/hospital/santacristina/comunicacion</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https://www.comunidad.madrid/hospital/santacristina/nosotros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BUSCADOR</v>
      </c>
      <c r="C1886" s="85" t="str" cm="1">
        <f t="array" ref="C1886">IFERROR(INDEX('03.Muestra'!$F$8:$F$42,SMALL(IF("Página Web"='03.Muestra'!$D$8:$D$42,ROW('03.Muestra'!$F$8:$F$42)-MIN(ROW('03.Muestra'!$D$8:$D$42))+1,""),ROW()-1880)),"")</f>
        <v>https://www.comunidad.madrid/hospital/santacristina/buscar?search_api_fulltext=&amp;nombre=</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ATENCIÓN AL PACIENTE</v>
      </c>
      <c r="C1887" s="85" t="str" cm="1">
        <f t="array" ref="C1887">IFERROR(INDEX('03.Muestra'!$F$8:$F$42,SMALL(IF("Página Web"='03.Muestra'!$D$8:$D$42,ROW('03.Muestra'!$F$8:$F$42)-MIN(ROW('03.Muestra'!$D$8:$D$42))+1,""),ROW()-1880)),"")</f>
        <v>https://www.comunidad.madrid/hospital/santacristina/ciudadanos/atencion-paciente</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ATENCIÓN ESPIRITUAL</v>
      </c>
      <c r="C1888" s="85" t="str" cm="1">
        <f t="array" ref="C1888">IFERROR(INDEX('03.Muestra'!$F$8:$F$42,SMALL(IF("Página Web"='03.Muestra'!$D$8:$D$42,ROW('03.Muestra'!$F$8:$F$42)-MIN(ROW('03.Muestra'!$D$8:$D$42))+1,""),ROW()-1880)),"")</f>
        <v>https://www.comunidad.madrid/hospital/santacristina/ciudadanos/atencion-espiritual-religiosa</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LOCALIZACIÓN Y ACCESO</v>
      </c>
      <c r="C1889" s="85" t="str" cm="1">
        <f t="array" ref="C1889">IFERROR(INDEX('03.Muestra'!$F$8:$F$42,SMALL(IF("Página Web"='03.Muestra'!$D$8:$D$42,ROW('03.Muestra'!$F$8:$F$42)-MIN(ROW('03.Muestra'!$D$8:$D$42))+1,""),ROW()-1880)),"")</f>
        <v>https://www.comunidad.madrid/hospital/santacristina/ciudadanos/localizacion-acceso</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GUÍAS DE USUARIO</v>
      </c>
      <c r="C1890" s="85" t="str" cm="1">
        <f t="array" ref="C1890">IFERROR(INDEX('03.Muestra'!$F$8:$F$42,SMALL(IF("Página Web"='03.Muestra'!$D$8:$D$42,ROW('03.Muestra'!$F$8:$F$42)-MIN(ROW('03.Muestra'!$D$8:$D$42))+1,""),ROW()-1880)),"")</f>
        <v>https://www.comunidad.madrid/hospital/santacristina/ciudadanos/guias-usuario</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SERVICIOS QUIRÚRGICOS</v>
      </c>
      <c r="C1891" s="85" t="str" cm="1">
        <f t="array" ref="C1891">IFERROR(INDEX('03.Muestra'!$F$8:$F$42,SMALL(IF("Página Web"='03.Muestra'!$D$8:$D$42,ROW('03.Muestra'!$F$8:$F$42)-MIN(ROW('03.Muestra'!$D$8:$D$42))+1,""),ROW()-1880)),"")</f>
        <v>https://www.comunidad.madrid/hospital/santacristina/profesionales/servicios-quirurgicos-0</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INVESTIGACIÓN</v>
      </c>
      <c r="C1892" s="85" t="str" cm="1">
        <f t="array" ref="C1892">IFERROR(INDEX('03.Muestra'!$F$8:$F$42,SMALL(IF("Página Web"='03.Muestra'!$D$8:$D$42,ROW('03.Muestra'!$F$8:$F$42)-MIN(ROW('03.Muestra'!$D$8:$D$42))+1,""),ROW()-1880)),"")</f>
        <v>https://www.comunidad.madrid/hospital/santacristina/profesionales/investigacion-0</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NOTICIAS</v>
      </c>
      <c r="C1893" s="85" t="str" cm="1">
        <f t="array" ref="C1893">IFERROR(INDEX('03.Muestra'!$F$8:$F$42,SMALL(IF("Página Web"='03.Muestra'!$D$8:$D$42,ROW('03.Muestra'!$F$8:$F$42)-MIN(ROW('03.Muestra'!$D$8:$D$42))+1,""),ROW()-1880)),"")</f>
        <v>https://www.comunidad.madrid/hospital/santacristina/comunicacion/noticias</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ACTOS DEL CENTENARIO</v>
      </c>
      <c r="C1894" s="85" t="str" cm="1">
        <f t="array" ref="C1894">IFERROR(INDEX('03.Muestra'!$F$8:$F$42,SMALL(IF("Página Web"='03.Muestra'!$D$8:$D$42,ROW('03.Muestra'!$F$8:$F$42)-MIN(ROW('03.Muestra'!$D$8:$D$42))+1,""),ROW()-1880)),"")</f>
        <v>https://www.comunidad.madrid/hospital/santacristina/nosotros/actos-centenario</v>
      </c>
      <c r="D1894" s="99" t="s">
        <v>94</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ACCESIBILIDAD HOSPITAL</v>
      </c>
      <c r="C1895" s="85" t="str" cm="1">
        <f t="array" ref="C1895">IFERROR(INDEX('03.Muestra'!$F$8:$F$42,SMALL(IF("Página Web"='03.Muestra'!$D$8:$D$42,ROW('03.Muestra'!$F$8:$F$42)-MIN(ROW('03.Muestra'!$D$8:$D$42))+1,""),ROW()-1880)),"")</f>
        <v>https://www.comunidad.madrid/hospital/santacristina/nosotros/accesibilidad-hospital</v>
      </c>
      <c r="D1895" s="99" t="s">
        <v>94</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CARTERA DE SERVICIOS</v>
      </c>
      <c r="C1896" s="85" t="str" cm="1">
        <f t="array" ref="C1896">IFERROR(INDEX('03.Muestra'!$F$8:$F$42,SMALL(IF("Página Web"='03.Muestra'!$D$8:$D$42,ROW('03.Muestra'!$F$8:$F$42)-MIN(ROW('03.Muestra'!$D$8:$D$42))+1,""),ROW()-1880)),"")</f>
        <v>https://www.comunidad.madrid/hospital/santacristina/nosotros/cartera-servicios</v>
      </c>
      <c r="D1896" s="99" t="s">
        <v>94</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CONTACTO</v>
      </c>
      <c r="C1897" s="85" t="str" cm="1">
        <f t="array" ref="C1897">IFERROR(INDEX('03.Muestra'!$F$8:$F$42,SMALL(IF("Página Web"='03.Muestra'!$D$8:$D$42,ROW('03.Muestra'!$F$8:$F$42)-MIN(ROW('03.Muestra'!$D$8:$D$42))+1,""),ROW()-1880)),"")</f>
        <v>https://www.comunidad.madrid/hospital/santacristina/comunicacion/contacto</v>
      </c>
      <c r="D1897" s="99" t="s">
        <v>94</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ACCESIBILIDAD</v>
      </c>
      <c r="C1898" s="85" t="str" cm="1">
        <f t="array" ref="C1898">IFERROR(INDEX('03.Muestra'!$F$8:$F$42,SMALL(IF("Página Web"='03.Muestra'!$D$8:$D$42,ROW('03.Muestra'!$F$8:$F$42)-MIN(ROW('03.Muestra'!$D$8:$D$42))+1,""),ROW()-1880)),"")</f>
        <v>https://www.comunidad.madrid/hospital/santacristina/declaracion-accesibilidad</v>
      </c>
      <c r="D1898" s="99" t="s">
        <v>94</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LEGAL</v>
      </c>
      <c r="C1899" s="85" t="str" cm="1">
        <f t="array" ref="C1899">IFERROR(INDEX('03.Muestra'!$F$8:$F$42,SMALL(IF("Página Web"='03.Muestra'!$D$8:$D$42,ROW('03.Muestra'!$F$8:$F$42)-MIN(ROW('03.Muestra'!$D$8:$D$42))+1,""),ROW()-1880)),"")</f>
        <v>https://www.comunidad.madrid/hospital/santacristina/ciudadanos/aviso-legal-privacidad</v>
      </c>
      <c r="D1899" s="99" t="s">
        <v>94</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MAPA WEB</v>
      </c>
      <c r="C1900" s="85" t="str" cm="1">
        <f t="array" ref="C1900">IFERROR(INDEX('03.Muestra'!$F$8:$F$42,SMALL(IF("Página Web"='03.Muestra'!$D$8:$D$42,ROW('03.Muestra'!$F$8:$F$42)-MIN(ROW('03.Muestra'!$D$8:$D$42))+1,""),ROW()-1880)),"")</f>
        <v>https://www.comunidad.madrid/hospital/santacristina/sitemap</v>
      </c>
      <c r="D1900" s="99" t="s">
        <v>94</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882: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99</v>
      </c>
      <c r="B1614" s="23" t="s">
        <v>91</v>
      </c>
      <c r="C1614" s="24" t="s">
        <v>236</v>
      </c>
      <c r="D1614" s="25" t="s">
        <v>101</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99</v>
      </c>
      <c r="B1652" s="23" t="s">
        <v>91</v>
      </c>
      <c r="C1652" s="24" t="s">
        <v>237</v>
      </c>
      <c r="D1652" s="25" t="s">
        <v>101</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99</v>
      </c>
      <c r="B1690" s="23" t="s">
        <v>91</v>
      </c>
      <c r="C1690" s="24" t="s">
        <v>238</v>
      </c>
      <c r="D1690" s="25" t="s">
        <v>101</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Maria Victoria De Pedro Velasco</cp:lastModifiedBy>
  <cp:revision>109</cp:revision>
  <dcterms:created xsi:type="dcterms:W3CDTF">2020-03-26T13:14:48Z</dcterms:created>
  <dcterms:modified xsi:type="dcterms:W3CDTF">2025-04-10T08:44:59Z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