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246120E3-C660-4D2F-AEDA-6F176B8A188D}" xr6:coauthVersionLast="47" xr6:coauthVersionMax="47" xr10:uidLastSave="{C02D1809-6475-4966-9835-7A6F9E4D88D9}"/>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304" i="15" l="1"/>
  <c r="D157" i="14"/>
  <c r="D224" i="5"/>
  <c r="D238" i="5"/>
  <c r="CG20" i="9"/>
  <c r="DC3" i="19" s="1"/>
  <c r="D1165" i="21"/>
  <c r="D1253" i="22"/>
  <c r="D228" i="5"/>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N24" i="9" a="1"/>
  <c r="R21" i="9" a="1"/>
  <c r="CN21" i="9" a="1"/>
  <c r="BA24" i="9" a="1"/>
  <c r="CC22" i="9" a="1"/>
  <c r="CE28" i="9" a="1"/>
  <c r="CE24" i="9" a="1"/>
  <c r="CB28" i="9" a="1"/>
  <c r="AB27" i="9" a="1"/>
  <c r="AZ26" i="9" a="1"/>
  <c r="BM29" i="9" a="1"/>
  <c r="CD27" i="9" a="1"/>
  <c r="BI28" i="9" a="1"/>
  <c r="P25" i="9" a="1"/>
  <c r="AY24" i="9" a="1"/>
  <c r="BY29" i="9" a="1"/>
  <c r="F21" i="9" a="1"/>
  <c r="AQ22" i="9" a="1"/>
  <c r="CN20" i="9" a="1"/>
  <c r="CM27" i="9" a="1"/>
  <c r="BE21" i="9" a="1"/>
  <c r="BB21" i="9" a="1"/>
  <c r="R28" i="9" a="1"/>
  <c r="BM22" i="9" a="1"/>
  <c r="K20" i="18"/>
  <c r="Q22" i="9" a="1"/>
  <c r="BW21" i="9" a="1"/>
  <c r="G28" i="9" a="1"/>
  <c r="G24" i="9" a="1"/>
  <c r="K20" i="9" a="1"/>
  <c r="BP23" i="9" a="1"/>
  <c r="BX20" i="9" a="1"/>
  <c r="K286" i="15"/>
  <c r="AD20" i="9" a="1"/>
  <c r="CO27" i="9" a="1"/>
  <c r="AE23" i="9" a="1"/>
  <c r="M21" i="9" a="1"/>
  <c r="AS22" i="9" a="1"/>
  <c r="AK20" i="9" a="1"/>
  <c r="K628" i="14"/>
  <c r="BT23" i="9" a="1"/>
  <c r="BM23" i="9" a="1"/>
  <c r="K58" i="13"/>
  <c r="AN28" i="9" a="1"/>
  <c r="F27" i="9" a="1"/>
  <c r="CG27" i="9" a="1"/>
  <c r="AT20" i="9" a="1"/>
  <c r="AR25" i="9" a="1"/>
  <c r="Z26" i="9" a="1"/>
  <c r="AT29" i="9" a="1"/>
  <c r="AM25" i="9" a="1"/>
  <c r="CB23" i="9" a="1"/>
  <c r="AN24" i="9" a="1"/>
  <c r="S27" i="9" a="1"/>
  <c r="BK27" i="9" a="1"/>
  <c r="BE23" i="9" a="1"/>
  <c r="AZ24" i="9" a="1"/>
  <c r="AT25" i="9" a="1"/>
  <c r="N25" i="9" a="1"/>
  <c r="Y26" i="9" a="1"/>
  <c r="U20" i="9" a="1"/>
  <c r="BG21" i="9" a="1"/>
  <c r="BQ26" i="9" a="1"/>
  <c r="AB29" i="9" a="1"/>
  <c r="CP24" i="9" a="1"/>
  <c r="AY28" i="9" a="1"/>
  <c r="CN22" i="9" a="1"/>
  <c r="AX23" i="9" a="1"/>
  <c r="BL22" i="9" a="1"/>
  <c r="BY22" i="9" a="1"/>
  <c r="BF24" i="9" a="1"/>
  <c r="CP20" i="9" a="1"/>
  <c r="CQ21" i="9" a="1"/>
  <c r="E25" i="9" a="1"/>
  <c r="BO22" i="9" a="1"/>
  <c r="F20" i="9" a="1"/>
  <c r="AF22" i="9" a="1"/>
  <c r="J24" i="9" a="1"/>
  <c r="H27" i="9" a="1"/>
  <c r="CD21" i="9" a="1"/>
  <c r="G26" i="9" a="1"/>
  <c r="CG22" i="9" a="1"/>
  <c r="CF26" i="9" a="1"/>
  <c r="BY26" i="9" a="1"/>
  <c r="E29" i="9" a="1"/>
  <c r="V29" i="9" a="1"/>
  <c r="BC25" i="9" a="1"/>
  <c r="BQ25" i="9" a="1"/>
  <c r="AC28" i="9" a="1"/>
  <c r="BN26" i="9" a="1"/>
  <c r="CR27" i="9" a="1"/>
  <c r="AG28" i="9" a="1"/>
  <c r="AM27" i="9" a="1"/>
  <c r="CI22" i="9" a="1"/>
  <c r="AJ26" i="9" a="1"/>
  <c r="K476" i="14"/>
  <c r="AX28" i="9" a="1"/>
  <c r="F29" i="9" a="1"/>
  <c r="K28" i="9" a="1"/>
  <c r="AZ27" i="9" a="1"/>
  <c r="K362" i="22"/>
  <c r="AR29" i="9" a="1"/>
  <c r="BP21" i="9" a="1"/>
  <c r="BU26" i="9" a="1"/>
  <c r="CL21" i="9" a="1"/>
  <c r="AZ28" i="9" a="1"/>
  <c r="K1274" i="22"/>
  <c r="BT22" i="9" a="1"/>
  <c r="CO23" i="9" a="1"/>
  <c r="BS22" i="9" a="1"/>
  <c r="K96" i="18"/>
  <c r="BZ22" i="9" a="1"/>
  <c r="CA24" i="9" a="1"/>
  <c r="AF28" i="9" a="1"/>
  <c r="BN20" i="9" a="1"/>
  <c r="AX20" i="9" a="1"/>
  <c r="Q25" i="9" a="1"/>
  <c r="CD28" i="9" a="1"/>
  <c r="BU20" i="9" a="1"/>
  <c r="AY29" i="9" a="1"/>
  <c r="K20" i="13"/>
  <c r="AL25" i="9" a="1"/>
  <c r="E22" i="9" a="1"/>
  <c r="CP23" i="9" a="1"/>
  <c r="BB27" i="9" a="1"/>
  <c r="CJ21" i="9" a="1"/>
  <c r="CH28" i="9" a="1"/>
  <c r="BO25" i="9" a="1"/>
  <c r="AA22" i="9" a="1"/>
  <c r="BR23" i="9" a="1"/>
  <c r="BV27" i="9" a="1"/>
  <c r="AD27" i="9" a="1"/>
  <c r="Q23" i="9" a="1"/>
  <c r="AW20" i="9" a="1"/>
  <c r="J20" i="9" a="1"/>
  <c r="AZ21" i="9" a="1"/>
  <c r="CE25" i="9" a="1"/>
  <c r="CO25" i="9" a="1"/>
  <c r="AK26" i="9" a="1"/>
  <c r="CG28" i="9" a="1"/>
  <c r="CM24" i="9" a="1"/>
  <c r="BI26" i="9" a="1"/>
  <c r="AV27" i="9" a="1"/>
  <c r="E26" i="9" a="1"/>
  <c r="AQ21" i="9" a="1"/>
  <c r="BI25" i="9" a="1"/>
  <c r="BM27" i="9" a="1"/>
  <c r="BN25" i="9" a="1"/>
  <c r="K172" i="22"/>
  <c r="AR21" i="9" a="1"/>
  <c r="AS27" i="9" a="1"/>
  <c r="Q21" i="9" a="1"/>
  <c r="BT21" i="9" a="1"/>
  <c r="BG23" i="9" a="1"/>
  <c r="Y21" i="9" a="1"/>
  <c r="K1464" i="22"/>
  <c r="AQ27" i="9" a="1"/>
  <c r="AQ24" i="9" a="1"/>
  <c r="CL27" i="9" a="1"/>
  <c r="G27" i="9" a="1"/>
  <c r="AN22" i="9" a="1"/>
  <c r="K1350" i="22"/>
  <c r="I21" i="9" a="1"/>
  <c r="CI23" i="9" a="1"/>
  <c r="BL29" i="9" a="1"/>
  <c r="AV21" i="9" a="1"/>
  <c r="CE23" i="9" a="1"/>
  <c r="CH24" i="9" a="1"/>
  <c r="U25" i="9" a="1"/>
  <c r="X23" i="9" a="1"/>
  <c r="BA22" i="9" a="1"/>
  <c r="CL23" i="9" a="1"/>
  <c r="BZ27" i="9" a="1"/>
  <c r="CL24" i="9" a="1"/>
  <c r="CK28" i="9" a="1"/>
  <c r="K1616" i="22"/>
  <c r="AB24" i="9" a="1"/>
  <c r="BI20" i="9" a="1"/>
  <c r="CK22" i="9" a="1"/>
  <c r="BJ28" i="9" a="1"/>
  <c r="BC22" i="9" a="1"/>
  <c r="AI21" i="9" a="1"/>
  <c r="K1312" i="22"/>
  <c r="BZ28" i="9" a="1"/>
  <c r="CJ24" i="9" a="1"/>
  <c r="CL26" i="9" a="1"/>
  <c r="AK25" i="9" a="1"/>
  <c r="CA26" i="9" a="1"/>
  <c r="CA29" i="9" a="1"/>
  <c r="K96" i="14"/>
  <c r="BJ29" i="9" a="1"/>
  <c r="AU22" i="9" a="1"/>
  <c r="J28" i="9" a="1"/>
  <c r="J27" i="9" a="1"/>
  <c r="CF23" i="9" a="1"/>
  <c r="K96" i="13"/>
  <c r="Y22" i="9" a="1"/>
  <c r="BY28" i="9" a="1"/>
  <c r="BQ29" i="9" a="1"/>
  <c r="BP28" i="9" a="1"/>
  <c r="BB22" i="9" a="1"/>
  <c r="Q29" i="9" a="1"/>
  <c r="K818" i="22"/>
  <c r="CM26" i="9" a="1"/>
  <c r="W22" i="9" a="1"/>
  <c r="K134" i="14"/>
  <c r="BR20" i="9" a="1"/>
  <c r="CC23" i="9" a="1"/>
  <c r="BJ21" i="9" a="1"/>
  <c r="Z27" i="9" a="1"/>
  <c r="AG27" i="9" a="1"/>
  <c r="BC28" i="9" a="1"/>
  <c r="AZ22" i="9" a="1"/>
  <c r="CG26" i="9" a="1"/>
  <c r="K26" i="9" a="1"/>
  <c r="BB29" i="9" a="1"/>
  <c r="BY24" i="9" a="1"/>
  <c r="X28" i="9" a="1"/>
  <c r="V20" i="9" a="1"/>
  <c r="AT22" i="9" a="1"/>
  <c r="K20" i="15"/>
  <c r="K210" i="5"/>
  <c r="AG24" i="9" a="1"/>
  <c r="BM24" i="9" a="1"/>
  <c r="K172" i="14"/>
  <c r="J26" i="9" a="1"/>
  <c r="V26" i="9" a="1"/>
  <c r="O20" i="9" a="1"/>
  <c r="AA27" i="9" a="1"/>
  <c r="CP22" i="9" a="1"/>
  <c r="CI24" i="9" a="1"/>
  <c r="F25" i="9" a="1"/>
  <c r="AV24" i="9" a="1"/>
  <c r="AO27" i="9" a="1"/>
  <c r="BU25" i="9" a="1"/>
  <c r="CO26" i="9" a="1"/>
  <c r="X22" i="9" a="1"/>
  <c r="AO29" i="9" a="1"/>
  <c r="K324" i="15"/>
  <c r="AI26" i="9" a="1"/>
  <c r="BI27" i="9" a="1"/>
  <c r="CR20" i="9" a="1"/>
  <c r="BV29" i="9" a="1"/>
  <c r="CH23" i="9" a="1"/>
  <c r="BR28" i="9" a="1"/>
  <c r="N28" i="9" a="1"/>
  <c r="K476" i="22"/>
  <c r="AO22" i="9" a="1"/>
  <c r="AH29" i="9" a="1"/>
  <c r="J23" i="9" a="1"/>
  <c r="I27" i="9" a="1"/>
  <c r="AZ20" i="9" a="1"/>
  <c r="BO24" i="9" a="1"/>
  <c r="CE27" i="9" a="1"/>
  <c r="N29" i="9" a="1"/>
  <c r="AM21" i="9" a="1"/>
  <c r="CA25" i="9" a="1"/>
  <c r="AK21" i="9" a="1"/>
  <c r="CH25" i="9" a="1"/>
  <c r="BQ23" i="9" a="1"/>
  <c r="BO28" i="9" a="1"/>
  <c r="CI29" i="9" a="1"/>
  <c r="AY26" i="9" a="1"/>
  <c r="BR25" i="9" a="1"/>
  <c r="BV28" i="9" a="1"/>
  <c r="AL28" i="9" a="1"/>
  <c r="AJ27" i="9" a="1"/>
  <c r="CM28" i="9" a="1"/>
  <c r="T22" i="9" a="1"/>
  <c r="CK23" i="9" a="1"/>
  <c r="K324" i="22"/>
  <c r="BX22" i="9" a="1"/>
  <c r="CE26" i="9" a="1"/>
  <c r="BA23" i="9" a="1"/>
  <c r="CA28" i="9" a="1"/>
  <c r="BC26" i="9" a="1"/>
  <c r="P26" i="9" a="1"/>
  <c r="F26" i="9" a="1"/>
  <c r="Y28" i="9" a="1"/>
  <c r="AN25" i="9" a="1"/>
  <c r="J25" i="9" a="1"/>
  <c r="K210" i="15"/>
  <c r="BP27" i="9" a="1"/>
  <c r="K894" i="22"/>
  <c r="BJ20" i="9" a="1"/>
  <c r="S29" i="9" a="1"/>
  <c r="K23" i="9" a="1"/>
  <c r="AD26" i="9" a="1"/>
  <c r="CH27" i="9" a="1"/>
  <c r="R20" i="9" a="1"/>
  <c r="W24" i="9" a="1"/>
  <c r="AA23" i="9" a="1"/>
  <c r="O27" i="9" a="1"/>
  <c r="CB24" i="9" a="1"/>
  <c r="AU27" i="9" a="1"/>
  <c r="CJ22" i="9" a="1"/>
  <c r="CD20" i="9" a="1"/>
  <c r="I28" i="9" a="1"/>
  <c r="K400" i="22"/>
  <c r="CD23" i="9" a="1"/>
  <c r="AX24" i="9" a="1"/>
  <c r="CE29" i="9" a="1"/>
  <c r="BF21" i="9" a="1"/>
  <c r="Q28" i="9" a="1"/>
  <c r="AN26" i="9" a="1"/>
  <c r="BS27" i="9" a="1"/>
  <c r="AS25" i="9" a="1"/>
  <c r="S23" i="9" a="1"/>
  <c r="P21" i="9" a="1"/>
  <c r="BI24" i="9" a="1"/>
  <c r="BG27" i="9" a="1"/>
  <c r="CB25" i="9" a="1"/>
  <c r="AG29" i="9" a="1"/>
  <c r="AX22" i="9" a="1"/>
  <c r="CK21" i="9" a="1"/>
  <c r="BJ22" i="9" a="1"/>
  <c r="V22" i="9" a="1"/>
  <c r="BJ23" i="9" a="1"/>
  <c r="AS20" i="9" a="1"/>
  <c r="AA28" i="9" a="1"/>
  <c r="CL20" i="9" a="1"/>
  <c r="K1084" i="22"/>
  <c r="K932" i="22"/>
  <c r="AB26" i="9" a="1"/>
  <c r="AC26" i="9" a="1"/>
  <c r="AF26" i="9" a="1"/>
  <c r="AC24" i="9" a="1"/>
  <c r="CR23" i="9" a="1"/>
  <c r="BK22" i="9" a="1"/>
  <c r="F24" i="9" a="1"/>
  <c r="AF25" i="9" a="1"/>
  <c r="BQ24" i="9" a="1"/>
  <c r="CQ28" i="9" a="1"/>
  <c r="CL28" i="9" a="1"/>
  <c r="M24" i="9" a="1"/>
  <c r="BU24" i="9" a="1"/>
  <c r="CF27" i="9" a="1"/>
  <c r="AO24" i="9" a="1"/>
  <c r="AJ29" i="9" a="1"/>
  <c r="AL26" i="9" a="1"/>
  <c r="K1426" i="22"/>
  <c r="L22" i="9" a="1"/>
  <c r="AH27" i="9" a="1"/>
  <c r="CA23" i="9" a="1"/>
  <c r="U21" i="9" a="1"/>
  <c r="BB24" i="9" a="1"/>
  <c r="CQ22" i="9" a="1"/>
  <c r="BF20" i="9" a="1"/>
  <c r="CN28" i="9" a="1"/>
  <c r="AE26" i="9" a="1"/>
  <c r="AW29" i="9" a="1"/>
  <c r="K24" i="9" a="1"/>
  <c r="AG20" i="9" a="1"/>
  <c r="H22" i="9" a="1"/>
  <c r="BA29" i="9" a="1"/>
  <c r="Q24" i="9" a="1"/>
  <c r="K438" i="14"/>
  <c r="BR26" i="9" a="1"/>
  <c r="V25" i="9" a="1"/>
  <c r="AF24" i="9" a="1"/>
  <c r="R29" i="9" a="1"/>
  <c r="CF24" i="9" a="1"/>
  <c r="BS20" i="9" a="1"/>
  <c r="AT26" i="9" a="1"/>
  <c r="CP29" i="9" a="1"/>
  <c r="K590" i="14"/>
  <c r="BT27" i="9" a="1"/>
  <c r="H24" i="9" a="1"/>
  <c r="O29" i="9" a="1"/>
  <c r="AP25" i="9" a="1"/>
  <c r="CM22" i="9" a="1"/>
  <c r="BU23" i="9" a="1"/>
  <c r="AU21" i="9" a="1"/>
  <c r="U22" i="9" a="1"/>
  <c r="CM25" i="9" a="1"/>
  <c r="AO21" i="9" a="1"/>
  <c r="P23" i="9" a="1"/>
  <c r="H28" i="9" a="1"/>
  <c r="AB28" i="9" a="1"/>
  <c r="K666" i="22"/>
  <c r="K172" i="15"/>
  <c r="BF28" i="9" a="1"/>
  <c r="BZ29" i="9" a="1"/>
  <c r="K134" i="15"/>
  <c r="AO25" i="9" a="1"/>
  <c r="AH28" i="9" a="1"/>
  <c r="BV22" i="9" a="1"/>
  <c r="Y29" i="9" a="1"/>
  <c r="CQ27" i="9" a="1"/>
  <c r="BO23" i="9" a="1"/>
  <c r="K210" i="14"/>
  <c r="CC27" i="9" a="1"/>
  <c r="AE25" i="9" a="1"/>
  <c r="CI28" i="9" a="1"/>
  <c r="CA27" i="9" a="1"/>
  <c r="CP26" i="9" a="1"/>
  <c r="I25" i="9" a="1"/>
  <c r="BY23" i="9" a="1"/>
  <c r="AH20" i="9" a="1"/>
  <c r="K1806" i="22"/>
  <c r="O28" i="9" a="1"/>
  <c r="H20" i="9" a="1"/>
  <c r="AG26" i="9" a="1"/>
  <c r="AD21" i="9" a="1"/>
  <c r="AJ22" i="9" a="1"/>
  <c r="BZ21" i="9" a="1"/>
  <c r="O25" i="9" a="1"/>
  <c r="BY21" i="9" a="1"/>
  <c r="K172" i="5"/>
  <c r="BQ28" i="9" a="1"/>
  <c r="M27" i="9" a="1"/>
  <c r="Z24" i="9" a="1"/>
  <c r="Z20" i="9" a="1"/>
  <c r="AT21" i="9" a="1"/>
  <c r="CH21" i="9" a="1"/>
  <c r="BR24" i="9" a="1"/>
  <c r="O21" i="9" a="1"/>
  <c r="Z28" i="9" a="1"/>
  <c r="BO27" i="9" a="1"/>
  <c r="AV29" i="9" a="1"/>
  <c r="V23" i="9" a="1"/>
  <c r="AP27" i="9" a="1"/>
  <c r="BD23" i="9" a="1"/>
  <c r="BU21" i="9" a="1"/>
  <c r="CO29" i="9" a="1"/>
  <c r="AR24" i="9" a="1"/>
  <c r="BH23" i="9" a="1"/>
  <c r="W20" i="9" a="1"/>
  <c r="E23" i="9" a="1"/>
  <c r="CH26" i="9" a="1"/>
  <c r="T26" i="9" a="1"/>
  <c r="BJ24" i="9" a="1"/>
  <c r="K1692" i="22"/>
  <c r="BA20" i="9" a="1"/>
  <c r="BI22" i="9" a="1"/>
  <c r="BD22" i="9" a="1"/>
  <c r="AA21" i="9" a="1"/>
  <c r="I20" i="9" a="1"/>
  <c r="BW22" i="9" a="1"/>
  <c r="K20" i="22"/>
  <c r="R23" i="9" a="1"/>
  <c r="K134" i="18"/>
  <c r="BX21" i="9" a="1"/>
  <c r="AM20" i="9" a="1"/>
  <c r="BW23" i="9" a="1"/>
  <c r="BH24" i="9" a="1"/>
  <c r="AP24" i="9" a="1"/>
  <c r="O23" i="9" a="1"/>
  <c r="AN27" i="9" a="1"/>
  <c r="AQ20" i="9" a="1"/>
  <c r="CG23" i="9" a="1"/>
  <c r="BJ26" i="9" a="1"/>
  <c r="K552" i="14"/>
  <c r="CG29" i="9" a="1"/>
  <c r="G25" i="9" a="1"/>
  <c r="J29" i="9" a="1"/>
  <c r="AJ21" i="9" a="1"/>
  <c r="K666" i="14"/>
  <c r="BV23" i="9" a="1"/>
  <c r="K1502" i="22"/>
  <c r="BT24" i="9" a="1"/>
  <c r="K856" i="22"/>
  <c r="BK28" i="9" a="1"/>
  <c r="AJ23" i="9" a="1"/>
  <c r="CP27" i="9" a="1"/>
  <c r="E21" i="9" a="1"/>
  <c r="AR28" i="9" a="1"/>
  <c r="Y23" i="9" a="1"/>
  <c r="AX21" i="9" a="1"/>
  <c r="M29" i="9" a="1"/>
  <c r="BU28" i="9" a="1"/>
  <c r="CH22" i="9" a="1"/>
  <c r="R24" i="9" a="1"/>
  <c r="AN20" i="9" a="1"/>
  <c r="L23" i="9" a="1"/>
  <c r="K134" i="5"/>
  <c r="BY20" i="9" a="1"/>
  <c r="BS23" i="9" a="1"/>
  <c r="BF22" i="9" a="1"/>
  <c r="CA22" i="9" a="1"/>
  <c r="Y27" i="9" a="1"/>
  <c r="Y24" i="9" a="1"/>
  <c r="AO28" i="9" a="1"/>
  <c r="G20" i="9" a="1"/>
  <c r="AC25" i="9" a="1"/>
  <c r="AL22" i="9" a="1"/>
  <c r="CC29" i="9" a="1"/>
  <c r="AG21" i="9" a="1"/>
  <c r="CL22" i="9" a="1"/>
  <c r="AI25" i="9" a="1"/>
  <c r="E20" i="9" a="1"/>
  <c r="CI20" i="9" a="1"/>
  <c r="AX25" i="9" a="1"/>
  <c r="K286" i="22"/>
  <c r="K248" i="14"/>
  <c r="K20" i="14"/>
  <c r="AY20" i="9" a="1"/>
  <c r="S26" i="9" a="1"/>
  <c r="BQ20" i="9" a="1"/>
  <c r="BA26" i="9" a="1"/>
  <c r="BV26" i="9" a="1"/>
  <c r="Y25" i="9" a="1"/>
  <c r="CP21" i="9" a="1"/>
  <c r="CH29" i="9" a="1"/>
  <c r="K22" i="9" a="1"/>
  <c r="AA29" i="9" a="1"/>
  <c r="BA25" i="9" a="1"/>
  <c r="AZ23" i="9" a="1"/>
  <c r="CK29" i="9" a="1"/>
  <c r="BP22" i="9" a="1"/>
  <c r="CF20" i="9" a="1"/>
  <c r="K286" i="14"/>
  <c r="CD24" i="9" a="1"/>
  <c r="AF27" i="9" a="1"/>
  <c r="S28" i="9" a="1"/>
  <c r="AN23" i="9" a="1"/>
  <c r="K58" i="14"/>
  <c r="I29" i="9" a="1"/>
  <c r="AH21" i="9" a="1"/>
  <c r="AE21" i="9" a="1"/>
  <c r="CI27" i="9" a="1"/>
  <c r="BD24" i="9" a="1"/>
  <c r="AL23" i="9" a="1"/>
  <c r="AL24" i="9" a="1"/>
  <c r="X29" i="9" a="1"/>
  <c r="CI26" i="9" a="1"/>
  <c r="K1730" i="22"/>
  <c r="CO22" i="9" a="1"/>
  <c r="BV20" i="9" a="1"/>
  <c r="CC20" i="9" a="1"/>
  <c r="AH24" i="9" a="1"/>
  <c r="CL29" i="9" a="1"/>
  <c r="K704" i="14"/>
  <c r="CK27" i="9" a="1"/>
  <c r="M26" i="9" a="1"/>
  <c r="K248" i="15"/>
  <c r="BS25" i="9" a="1"/>
  <c r="BZ26" i="9" a="1"/>
  <c r="CC26" i="9" a="1"/>
  <c r="BS29" i="9" a="1"/>
  <c r="AH22" i="9" a="1"/>
  <c r="P22" i="9" a="1"/>
  <c r="CC25" i="9" a="1"/>
  <c r="BX23" i="9" a="1"/>
  <c r="K514" i="22"/>
  <c r="R26" i="9" a="1"/>
  <c r="BM20" i="9" a="1"/>
  <c r="AC22" i="9" a="1"/>
  <c r="K1578" i="22"/>
  <c r="CD26" i="9" a="1"/>
  <c r="T28" i="9" a="1"/>
  <c r="CN23" i="9" a="1"/>
  <c r="AF21" i="9" a="1"/>
  <c r="CP25" i="9" a="1"/>
  <c r="AQ23" i="9" a="1"/>
  <c r="W23" i="9" a="1"/>
  <c r="CJ27" i="9" a="1"/>
  <c r="M22" i="9" a="1"/>
  <c r="BT29" i="9" a="1"/>
  <c r="BL25" i="9" a="1"/>
  <c r="CR22" i="9" a="1"/>
  <c r="AC23" i="9" a="1"/>
  <c r="AS24" i="9" a="1"/>
  <c r="G29" i="9" a="1"/>
  <c r="AW25" i="9" a="1"/>
  <c r="BN24" i="9" a="1"/>
  <c r="BG28" i="9" a="1"/>
  <c r="AT27" i="9" a="1"/>
  <c r="BI23" i="9" a="1"/>
  <c r="CE21" i="9" a="1"/>
  <c r="AD24" i="9" a="1"/>
  <c r="AY27" i="9" a="1"/>
  <c r="AU25" i="9" a="1"/>
  <c r="CJ23" i="9" a="1"/>
  <c r="CO24" i="9" a="1"/>
  <c r="BH28" i="9" a="1"/>
  <c r="K58" i="15"/>
  <c r="CF25" i="9" a="1"/>
  <c r="F23" i="9" a="1"/>
  <c r="AG25" i="9" a="1"/>
  <c r="U23" i="9" a="1"/>
  <c r="CK26" i="9" a="1"/>
  <c r="AK27" i="9" a="1"/>
  <c r="BE29" i="9" a="1"/>
  <c r="K590" i="22"/>
  <c r="CR28" i="9" a="1"/>
  <c r="CQ23" i="9" a="1"/>
  <c r="AR26" i="9" a="1"/>
  <c r="CB22" i="9" a="1"/>
  <c r="K58" i="18"/>
  <c r="BD28" i="9" a="1"/>
  <c r="M23" i="9" a="1"/>
  <c r="CR29" i="9" a="1"/>
  <c r="H25" i="9" a="1"/>
  <c r="AD23" i="9" a="1"/>
  <c r="K704" i="22"/>
  <c r="K780" i="22"/>
  <c r="E24" i="9" a="1"/>
  <c r="BO21" i="9" a="1"/>
  <c r="R25" i="9" a="1"/>
  <c r="BU27" i="9" a="1"/>
  <c r="R27" i="9" a="1"/>
  <c r="AW23" i="9" a="1"/>
  <c r="AT23" i="9" a="1"/>
  <c r="AX29" i="9" a="1"/>
  <c r="U28" i="9" a="1"/>
  <c r="AI23" i="9" a="1"/>
  <c r="J21" i="9" a="1"/>
  <c r="K1540" i="22"/>
  <c r="AB25" i="9" a="1"/>
  <c r="AT24" i="9" a="1"/>
  <c r="AN29" i="9" a="1"/>
  <c r="X27" i="9" a="1"/>
  <c r="K210" i="22"/>
  <c r="O22" i="9" a="1"/>
  <c r="CO21" i="9" a="1"/>
  <c r="CB27" i="9" a="1"/>
  <c r="BE20" i="9" a="1"/>
  <c r="CC21" i="9" a="1"/>
  <c r="AU26" i="9" a="1"/>
  <c r="CI25" i="9" a="1"/>
  <c r="BY25" i="9" a="1"/>
  <c r="W21" i="9" a="1"/>
  <c r="BX27" i="9" a="1"/>
  <c r="O26" i="9" a="1"/>
  <c r="L27" i="9" a="1"/>
  <c r="AQ28" i="9" a="1"/>
  <c r="K1122" i="22"/>
  <c r="K1008" i="22"/>
  <c r="S24" i="9" a="1"/>
  <c r="AI27" i="9" a="1"/>
  <c r="AC29" i="9" a="1"/>
  <c r="BS21" i="9" a="1"/>
  <c r="BF27" i="9" a="1"/>
  <c r="K96" i="22"/>
  <c r="BZ20" i="9" a="1"/>
  <c r="G21" i="9" a="1"/>
  <c r="AJ28" i="9" a="1"/>
  <c r="BE27" i="9" a="1"/>
  <c r="BZ25" i="9" a="1"/>
  <c r="AU28" i="9" a="1"/>
  <c r="AY23" i="9" a="1"/>
  <c r="K362" i="14"/>
  <c r="AA20" i="9" a="1"/>
  <c r="AR23" i="9" a="1"/>
  <c r="BG26" i="9" a="1"/>
  <c r="CM20" i="9" a="1"/>
  <c r="BP29" i="9" a="1"/>
  <c r="BE28" i="9" a="1"/>
  <c r="BT28" i="9" a="1"/>
  <c r="U27" i="9" a="1"/>
  <c r="BC24" i="9" a="1"/>
  <c r="BN21" i="9" a="1"/>
  <c r="AP23" i="9" a="1"/>
  <c r="Q27" i="9" a="1"/>
  <c r="W27" i="9" a="1"/>
  <c r="BH22" i="9" a="1"/>
  <c r="AC20" i="9" a="1"/>
  <c r="AT28" i="9" a="1"/>
  <c r="BM26" i="9" a="1"/>
  <c r="CQ25" i="9" a="1"/>
  <c r="K58" i="5"/>
  <c r="AI20" i="9" a="1"/>
  <c r="BN29" i="9" a="1"/>
  <c r="I24" i="9" a="1"/>
  <c r="BR27" i="9" a="1"/>
  <c r="AQ26" i="9" a="1"/>
  <c r="BD21" i="9" a="1"/>
  <c r="K25" i="9" a="1"/>
  <c r="K1844" i="22"/>
  <c r="T24" i="9" a="1"/>
  <c r="N23" i="9" a="1"/>
  <c r="BD26" i="9" a="1"/>
  <c r="BD25" i="9" a="1"/>
  <c r="BS28" i="9" a="1"/>
  <c r="K1160" i="22"/>
  <c r="T20" i="9" a="1"/>
  <c r="CN27" i="9" a="1"/>
  <c r="BV25" i="9" a="1"/>
  <c r="AK23" i="9" a="1"/>
  <c r="AU29" i="9" a="1"/>
  <c r="CD29" i="9" a="1"/>
  <c r="BI21" i="9" a="1"/>
  <c r="BC27" i="9" a="1"/>
  <c r="L28" i="9" a="1"/>
  <c r="BK21" i="9" a="1"/>
  <c r="X21" i="9" a="1"/>
  <c r="AR27" i="9" a="1"/>
  <c r="AL27" i="9" a="1"/>
  <c r="BK26" i="9" a="1"/>
  <c r="AH26" i="9" a="1"/>
  <c r="K58" i="22"/>
  <c r="R22" i="9" a="1"/>
  <c r="CA21" i="9" a="1"/>
  <c r="K1236" i="22"/>
  <c r="M20" i="9" a="1"/>
  <c r="Z29" i="9" a="1"/>
  <c r="CF29" i="9" a="1"/>
  <c r="K1046" i="22"/>
  <c r="W28" i="9" a="1"/>
  <c r="CJ26" i="9" a="1"/>
  <c r="CH20" i="9" a="1"/>
  <c r="BT20" i="9" a="1"/>
  <c r="BQ27" i="9" a="1"/>
  <c r="Z22" i="9" a="1"/>
  <c r="BO20" i="9" a="1"/>
  <c r="BR22" i="9" a="1"/>
  <c r="L24" i="9" a="1"/>
  <c r="AS26" i="9" a="1"/>
  <c r="BD20" i="9" a="1"/>
  <c r="BD29" i="9" a="1"/>
  <c r="I26" i="9" a="1"/>
  <c r="CI21" i="9" a="1"/>
  <c r="BE25" i="9" a="1"/>
  <c r="AP22" i="9" a="1"/>
  <c r="K29" i="9" a="1"/>
  <c r="P20" i="9" a="1"/>
  <c r="AW22" i="9" a="1"/>
  <c r="BS24" i="9" a="1"/>
  <c r="K134" i="22"/>
  <c r="BH20" i="9" a="1"/>
  <c r="BP25" i="9" a="1"/>
  <c r="E27" i="9" a="1"/>
  <c r="BD27" i="9" a="1"/>
  <c r="BA27" i="9" a="1"/>
  <c r="BL26" i="9" a="1"/>
  <c r="BA28" i="9" a="1"/>
  <c r="P27" i="9" a="1"/>
  <c r="AU23" i="9" a="1"/>
  <c r="AR20" i="9" a="1"/>
  <c r="AV22" i="9" a="1"/>
  <c r="BF29" i="9" a="1"/>
  <c r="N22" i="9" a="1"/>
  <c r="CB26" i="9" a="1"/>
  <c r="AB21" i="9" a="1"/>
  <c r="BG29" i="9" a="1"/>
  <c r="CG21" i="9" a="1"/>
  <c r="AK29" i="9" a="1"/>
  <c r="BX24" i="9" a="1"/>
  <c r="BG22" i="9" a="1"/>
  <c r="AS28" i="9" a="1"/>
  <c r="U26" i="9" a="1"/>
  <c r="K438" i="22"/>
  <c r="BH27" i="9" a="1"/>
  <c r="BG25" i="9" a="1"/>
  <c r="CJ25" i="9" a="1"/>
  <c r="BO29" i="9" a="1"/>
  <c r="AG23" i="9" a="1"/>
  <c r="AH25" i="9" a="1"/>
  <c r="AE24" i="9" a="1"/>
  <c r="K400" i="14"/>
  <c r="BN28" i="9" a="1"/>
  <c r="V28" i="9" a="1"/>
  <c r="P29" i="9" a="1"/>
  <c r="H26" i="9" a="1"/>
  <c r="P28" i="9" a="1"/>
  <c r="AB23" i="9" a="1"/>
  <c r="V21" i="9" a="1"/>
  <c r="CF22" i="9" a="1"/>
  <c r="AU20" i="9" a="1"/>
  <c r="AO23" i="9" a="1"/>
  <c r="BC29" i="9" a="1"/>
  <c r="K21" i="9" a="1"/>
  <c r="AJ25" i="9" a="1"/>
  <c r="BW20" i="9" a="1"/>
  <c r="BQ21" i="9" a="1"/>
  <c r="BH29" i="9" a="1"/>
  <c r="CE22" i="9" a="1"/>
  <c r="AV23" i="9" a="1"/>
  <c r="S25" i="9" a="1"/>
  <c r="BL27" i="9" a="1"/>
  <c r="BR29" i="9" a="1"/>
  <c r="BG20" i="9" a="1"/>
  <c r="CO20" i="9" a="1"/>
  <c r="BJ25" i="9" a="1"/>
  <c r="S22" i="9" a="1"/>
  <c r="AS29" i="9" a="1"/>
  <c r="H29" i="9" a="1"/>
  <c r="K27" i="9" a="1"/>
  <c r="AW27" i="9" a="1"/>
  <c r="BL20" i="9" a="1"/>
  <c r="CM23" i="9" a="1"/>
  <c r="CP28" i="9" a="1"/>
  <c r="U29" i="9" a="1"/>
  <c r="N24" i="9" a="1"/>
  <c r="AX26" i="9" a="1"/>
  <c r="AJ20" i="9" a="1"/>
  <c r="BP26" i="9" a="1"/>
  <c r="W25" i="9" a="1"/>
  <c r="BM25" i="9" a="1"/>
  <c r="AF29" i="9" a="1"/>
  <c r="X25" i="9" a="1"/>
  <c r="K1198" i="22"/>
  <c r="AG22" i="9" a="1"/>
  <c r="CM21" i="9" a="1"/>
  <c r="V27" i="9" a="1"/>
  <c r="AP28" i="9" a="1"/>
  <c r="CJ29" i="9" a="1"/>
  <c r="AR22" i="9" a="1"/>
  <c r="AI24" i="9" a="1"/>
  <c r="CB20" i="9" a="1"/>
  <c r="BZ23" i="9" a="1"/>
  <c r="K96" i="15"/>
  <c r="BW25" i="9" a="1"/>
  <c r="Y20" i="9" a="1"/>
  <c r="BM28" i="9" a="1"/>
  <c r="W29" i="9" a="1"/>
  <c r="BB26" i="9" a="1"/>
  <c r="F28" i="9" a="1"/>
  <c r="X24" i="9" a="1"/>
  <c r="AP29" i="9" a="1"/>
  <c r="BW27" i="9" a="1"/>
  <c r="BF23" i="9" a="1"/>
  <c r="N20" i="9" a="1"/>
  <c r="AD22" i="9" a="1"/>
  <c r="AY21" i="9" a="1"/>
  <c r="K1768" i="22"/>
  <c r="CL25" i="9" a="1"/>
  <c r="CR26" i="9" a="1"/>
  <c r="Z25" i="9" a="1"/>
  <c r="T25" i="9" a="1"/>
  <c r="AS23" i="9" a="1"/>
  <c r="AY25" i="9" a="1"/>
  <c r="CN26" i="9" a="1"/>
  <c r="T27" i="9" a="1"/>
  <c r="AL29" i="9" a="1"/>
  <c r="BN23" i="9" a="1"/>
  <c r="CD22" i="9" a="1"/>
  <c r="AL21" i="9" a="1"/>
  <c r="CA20" i="9" a="1"/>
  <c r="BE24" i="9" a="1"/>
  <c r="BX28" i="9" a="1"/>
  <c r="AI22" i="9" a="1"/>
  <c r="BU29" i="9" a="1"/>
  <c r="BX29" i="9" a="1"/>
  <c r="AC27" i="9" a="1"/>
  <c r="AB20" i="9" a="1"/>
  <c r="BM21" i="9" a="1"/>
  <c r="X20" i="9" a="1"/>
  <c r="AP26" i="9" a="1"/>
  <c r="Q26" i="9" a="1"/>
  <c r="BE26" i="9" a="1"/>
  <c r="AF23" i="9" a="1"/>
  <c r="BS26" i="9" a="1"/>
  <c r="BA21" i="9" a="1"/>
  <c r="K1388" i="22"/>
  <c r="AM29" i="9" a="1"/>
  <c r="Z23" i="9" a="1"/>
  <c r="CK20" i="9" a="1"/>
  <c r="CO28" i="9" a="1"/>
  <c r="AU24" i="9" a="1"/>
  <c r="AW24" i="9" a="1"/>
  <c r="BK23" i="9" a="1"/>
  <c r="AO20" i="9" a="1"/>
  <c r="BF25" i="9" a="1"/>
  <c r="CC28" i="9" a="1"/>
  <c r="AW26" i="9" a="1"/>
  <c r="K514" i="14"/>
  <c r="CN29" i="9" a="1"/>
  <c r="BB23" i="9" a="1"/>
  <c r="M28" i="9" a="1"/>
  <c r="BT26" i="9" a="1"/>
  <c r="Z21" i="9" a="1"/>
  <c r="S20" i="9" a="1"/>
  <c r="CG24" i="9" a="1"/>
  <c r="AC21" i="9" a="1"/>
  <c r="BW28" i="9" a="1"/>
  <c r="AM23" i="9" a="1"/>
  <c r="CG25" i="9" a="1"/>
  <c r="L21" i="9" a="1"/>
  <c r="K172" i="18"/>
  <c r="BL23" i="9" a="1"/>
  <c r="BY27" i="9" a="1"/>
  <c r="AV28" i="9" a="1"/>
  <c r="CF28" i="9" a="1"/>
  <c r="CR25" i="9" a="1"/>
  <c r="BB28" i="9" a="1"/>
  <c r="BK29" i="9" a="1"/>
  <c r="AW21" i="9" a="1"/>
  <c r="F22" i="9" a="1"/>
  <c r="I23" i="9" a="1"/>
  <c r="CC24" i="9" a="1"/>
  <c r="BX25" i="9" a="1"/>
  <c r="AW28" i="9" a="1"/>
  <c r="AJ24" i="9" a="1"/>
  <c r="K552" i="22"/>
  <c r="H23" i="9" a="1"/>
  <c r="AD28" i="9" a="1"/>
  <c r="I22" i="9" a="1"/>
  <c r="S21" i="9" a="1"/>
  <c r="L29" i="9" a="1"/>
  <c r="CN25" i="9" a="1"/>
  <c r="BV24" i="9" a="1"/>
  <c r="AB22" i="9" a="1"/>
  <c r="CR21" i="9" a="1"/>
  <c r="BK20" i="9" a="1"/>
  <c r="CJ20" i="9" a="1"/>
  <c r="K970" i="22"/>
  <c r="N21" i="9" a="1"/>
  <c r="CR24" i="9" a="1"/>
  <c r="V24" i="9" a="1"/>
  <c r="AH23" i="9" a="1"/>
  <c r="AK24" i="9" a="1"/>
  <c r="AE20" i="9" a="1"/>
  <c r="CQ29" i="9" a="1"/>
  <c r="AX27" i="9" a="1"/>
  <c r="AD25" i="9" a="1"/>
  <c r="L25" i="9" a="1"/>
  <c r="BN22" i="9" a="1"/>
  <c r="K248" i="22"/>
  <c r="BN27" i="9" a="1"/>
  <c r="T29" i="9" a="1"/>
  <c r="CF21" i="9" a="1"/>
  <c r="BJ27" i="9" a="1"/>
  <c r="BP24" i="9" a="1"/>
  <c r="BH26" i="9" a="1"/>
  <c r="BX26" i="9" a="1"/>
  <c r="E28" i="9" a="1"/>
  <c r="BC23" i="9" a="1"/>
  <c r="BC20" i="9" a="1"/>
  <c r="AV26" i="9" a="1"/>
  <c r="AL20" i="9" a="1"/>
  <c r="AV25" i="9" a="1"/>
  <c r="BL21" i="9" a="1"/>
  <c r="BW29" i="9" a="1"/>
  <c r="L20" i="9" a="1"/>
  <c r="T21" i="9" a="1"/>
  <c r="U24" i="9" a="1"/>
  <c r="AZ25" i="9" a="1"/>
  <c r="AM24" i="9" a="1"/>
  <c r="CB29" i="9" a="1"/>
  <c r="P24" i="9" a="1"/>
  <c r="AQ29" i="9" a="1"/>
  <c r="AE28" i="9" a="1"/>
  <c r="K628" i="22"/>
  <c r="AE22" i="9" a="1"/>
  <c r="AK28" i="9" a="1"/>
  <c r="T23" i="9" a="1"/>
  <c r="CQ26" i="9" a="1"/>
  <c r="BG24" i="9" a="1"/>
  <c r="AN21" i="9" a="1"/>
  <c r="BI29" i="9" a="1"/>
  <c r="AI29" i="9" a="1"/>
  <c r="X26" i="9" a="1"/>
  <c r="BL28" i="9" a="1"/>
  <c r="BR21" i="9" a="1"/>
  <c r="AD29" i="9" a="1"/>
  <c r="BZ24" i="9" a="1"/>
  <c r="AM22" i="9" a="1"/>
  <c r="O24" i="9" a="1"/>
  <c r="BL24" i="9" a="1"/>
  <c r="BK24" i="9" a="1"/>
  <c r="BE22" i="9" a="1"/>
  <c r="N27" i="9" a="1"/>
  <c r="BW24" i="9" a="1"/>
  <c r="AO26" i="9" a="1"/>
  <c r="CM29" i="9" a="1"/>
  <c r="BW26" i="9" a="1"/>
  <c r="BB20" i="9" a="1"/>
  <c r="M25" i="9" a="1"/>
  <c r="AP20" i="9" a="1"/>
  <c r="AE27" i="9" a="1"/>
  <c r="CB21" i="9" a="1"/>
  <c r="J22" i="9" a="1"/>
  <c r="AA26" i="9" a="1"/>
  <c r="CK24" i="9" a="1"/>
  <c r="N26" i="9" a="1"/>
  <c r="AK22" i="9" a="1"/>
  <c r="Q20" i="9" a="1"/>
  <c r="BH25" i="9" a="1"/>
  <c r="AE29" i="9" a="1"/>
  <c r="BT25" i="9" a="1"/>
  <c r="AZ29" i="9" a="1"/>
  <c r="H21" i="9" a="1"/>
  <c r="L26" i="9" a="1"/>
  <c r="AA24" i="9" a="1"/>
  <c r="AY22" i="9" a="1"/>
  <c r="AQ25" i="9" a="1"/>
  <c r="AS21" i="9" a="1"/>
  <c r="AA25" i="9" a="1"/>
  <c r="CD25" i="9" a="1"/>
  <c r="K1654" i="22"/>
  <c r="CJ28" i="9" a="1"/>
  <c r="BO26" i="9" a="1"/>
  <c r="AP21" i="9" a="1"/>
  <c r="K96" i="5"/>
  <c r="K20" i="5"/>
  <c r="CQ24" i="9" a="1"/>
  <c r="AV20" i="9" a="1"/>
  <c r="G23" i="9" a="1"/>
  <c r="K324" i="14"/>
  <c r="BH21" i="9" a="1"/>
  <c r="W26" i="9" a="1"/>
  <c r="AM28" i="9" a="1"/>
  <c r="BQ22" i="9" a="1"/>
  <c r="BC21" i="9" a="1"/>
  <c r="BB25" i="9" a="1"/>
  <c r="AI28" i="9" a="1"/>
  <c r="G22" i="9" a="1"/>
  <c r="BF26" i="9" a="1"/>
  <c r="CK25" i="9" a="1"/>
  <c r="BP20" i="9" a="1"/>
  <c r="K742" i="22"/>
  <c r="BK25" i="9" a="1"/>
  <c r="CE20" i="9" a="1"/>
  <c r="BU22" i="9" a="1"/>
  <c r="AF20" i="9" a="1"/>
  <c r="AM26" i="9" a="1"/>
  <c r="CQ20" i="9" a="1"/>
  <c r="BV21" i="9" a="1"/>
  <c r="AH25" i="9" l="1"/>
  <c r="CH28" i="9"/>
  <c r="CB29" i="9"/>
  <c r="AR20" i="9"/>
  <c r="AE20" i="9"/>
  <c r="P27" i="9"/>
  <c r="BV21" i="9"/>
  <c r="AY23" i="9"/>
  <c r="CJ21" i="9"/>
  <c r="AI29" i="9"/>
  <c r="CB26" i="9"/>
  <c r="L20" i="9"/>
  <c r="AK24" i="9"/>
  <c r="BZ23" i="9"/>
  <c r="BA28" i="9"/>
  <c r="CG24" i="9"/>
  <c r="DC7" i="19" s="1"/>
  <c r="BB27" i="9"/>
  <c r="AU28" i="9"/>
  <c r="AG23" i="9"/>
  <c r="AM24" i="9"/>
  <c r="AU23" i="9"/>
  <c r="AH23" i="9"/>
  <c r="CB20" i="9"/>
  <c r="BL26" i="9"/>
  <c r="CH9" i="19" s="1"/>
  <c r="CP23" i="9"/>
  <c r="BZ25" i="9"/>
  <c r="CN29" i="9"/>
  <c r="N22" i="9"/>
  <c r="BW29" i="9"/>
  <c r="V24" i="9"/>
  <c r="AI24" i="9"/>
  <c r="E22" i="9"/>
  <c r="BA27" i="9"/>
  <c r="BM26" i="9"/>
  <c r="BE27" i="9"/>
  <c r="BK25" i="9"/>
  <c r="AZ25" i="9"/>
  <c r="BL21" i="9"/>
  <c r="CR24" i="9"/>
  <c r="AL25" i="9"/>
  <c r="AR22" i="9"/>
  <c r="BD27" i="9"/>
  <c r="CQ20" i="9"/>
  <c r="AJ28" i="9"/>
  <c r="BI29" i="9"/>
  <c r="BF29" i="9"/>
  <c r="AV25" i="9"/>
  <c r="N21" i="9"/>
  <c r="CJ29" i="9"/>
  <c r="E27" i="9"/>
  <c r="AD29" i="9"/>
  <c r="G21" i="9"/>
  <c r="BO29" i="9"/>
  <c r="U24" i="9"/>
  <c r="AY29" i="9"/>
  <c r="AL20" i="9"/>
  <c r="AP28" i="9"/>
  <c r="BP25" i="9"/>
  <c r="S20" i="9"/>
  <c r="BZ20" i="9"/>
  <c r="AN21" i="9"/>
  <c r="BU20" i="9"/>
  <c r="AV22" i="9"/>
  <c r="AV26" i="9"/>
  <c r="BR9" i="19" s="1"/>
  <c r="AY21" i="9"/>
  <c r="V27" i="9"/>
  <c r="BH20" i="9"/>
  <c r="AT28" i="9"/>
  <c r="CD28" i="9"/>
  <c r="CJ25" i="9"/>
  <c r="T21" i="9"/>
  <c r="BC20" i="9"/>
  <c r="AD22" i="9"/>
  <c r="CM21" i="9"/>
  <c r="BS28" i="9"/>
  <c r="Q25" i="9"/>
  <c r="BF27" i="9"/>
  <c r="BG24" i="9"/>
  <c r="BC23" i="9"/>
  <c r="N20" i="9"/>
  <c r="AG22" i="9"/>
  <c r="BS24" i="9"/>
  <c r="AX20" i="9"/>
  <c r="AM26" i="9"/>
  <c r="BS21" i="9"/>
  <c r="BG25" i="9"/>
  <c r="G23" i="9"/>
  <c r="E28" i="9"/>
  <c r="AA11" i="19" s="1"/>
  <c r="BF23" i="9"/>
  <c r="BN20" i="9"/>
  <c r="AW22" i="9"/>
  <c r="Z21" i="9"/>
  <c r="AC29" i="9"/>
  <c r="CQ26" i="9"/>
  <c r="AV20" i="9"/>
  <c r="BX26" i="9"/>
  <c r="CT9" i="19" s="1"/>
  <c r="BW27" i="9"/>
  <c r="AF28" i="9"/>
  <c r="X25" i="9"/>
  <c r="P20" i="9"/>
  <c r="BR21" i="9"/>
  <c r="AI27" i="9"/>
  <c r="T23" i="9"/>
  <c r="CQ24" i="9"/>
  <c r="DM7" i="19" s="1"/>
  <c r="BH26" i="9"/>
  <c r="CA24" i="9"/>
  <c r="AP29" i="9"/>
  <c r="AF29" i="9"/>
  <c r="K29" i="9"/>
  <c r="AC20" i="9"/>
  <c r="S24" i="9"/>
  <c r="BH27" i="9"/>
  <c r="CD10" i="19" s="1"/>
  <c r="K14" i="5"/>
  <c r="BZ22" i="9"/>
  <c r="X24" i="9"/>
  <c r="BM25" i="9"/>
  <c r="AP22" i="9"/>
  <c r="AF20" i="9"/>
  <c r="CQ28" i="9"/>
  <c r="AK28" i="9"/>
  <c r="BG11" i="19" s="1"/>
  <c r="BP24" i="9"/>
  <c r="F28" i="9"/>
  <c r="W25" i="9"/>
  <c r="BQ24" i="9"/>
  <c r="BE25" i="9"/>
  <c r="BS22" i="9"/>
  <c r="BT26" i="9"/>
  <c r="AE22" i="9"/>
  <c r="BA5" i="19" s="1"/>
  <c r="AP21" i="9"/>
  <c r="BA21" i="9"/>
  <c r="AF25" i="9"/>
  <c r="BB26" i="9"/>
  <c r="CO23" i="9"/>
  <c r="BP26" i="9"/>
  <c r="CI21" i="9"/>
  <c r="BD25" i="9"/>
  <c r="BZ8" i="19" s="1"/>
  <c r="AQ28" i="9"/>
  <c r="F24" i="9"/>
  <c r="BO26" i="9"/>
  <c r="BT22" i="9"/>
  <c r="BJ27" i="9"/>
  <c r="W29" i="9"/>
  <c r="AJ20" i="9"/>
  <c r="I26" i="9"/>
  <c r="AE9" i="19" s="1"/>
  <c r="BL28" i="9"/>
  <c r="BK22" i="9"/>
  <c r="L27" i="9"/>
  <c r="CJ28" i="9"/>
  <c r="BS26" i="9"/>
  <c r="BM28" i="9"/>
  <c r="AX26" i="9"/>
  <c r="CR23" i="9"/>
  <c r="BD29" i="9"/>
  <c r="AZ28" i="9"/>
  <c r="BH22" i="9"/>
  <c r="O26" i="9"/>
  <c r="AW26" i="9"/>
  <c r="CF21" i="9"/>
  <c r="AC24" i="9"/>
  <c r="CL21" i="9"/>
  <c r="N24" i="9"/>
  <c r="BD20" i="9"/>
  <c r="BX27" i="9"/>
  <c r="CC28" i="9"/>
  <c r="AF26" i="9"/>
  <c r="CD25" i="9"/>
  <c r="BU26" i="9"/>
  <c r="AF23" i="9"/>
  <c r="Y20" i="9"/>
  <c r="U29" i="9"/>
  <c r="AS26" i="9"/>
  <c r="M28" i="9"/>
  <c r="AC26" i="9"/>
  <c r="W21" i="9"/>
  <c r="BP21" i="9"/>
  <c r="BP20" i="9"/>
  <c r="AA25" i="9"/>
  <c r="BE26" i="9"/>
  <c r="CJ20" i="9"/>
  <c r="CP28" i="9"/>
  <c r="AB26" i="9"/>
  <c r="L24" i="9"/>
  <c r="AR29" i="9"/>
  <c r="BU22" i="9"/>
  <c r="BY25" i="9"/>
  <c r="BF25" i="9"/>
  <c r="AS21" i="9"/>
  <c r="T29" i="9"/>
  <c r="BK20" i="9"/>
  <c r="CM23" i="9"/>
  <c r="BR22" i="9"/>
  <c r="W27" i="9"/>
  <c r="AS10" i="19" s="1"/>
  <c r="CI25" i="9"/>
  <c r="CK25" i="9"/>
  <c r="AZ27" i="9"/>
  <c r="AQ25" i="9"/>
  <c r="Q26" i="9"/>
  <c r="BW25" i="9"/>
  <c r="BL20" i="9"/>
  <c r="BJ24" i="9"/>
  <c r="CF7" i="19" s="1"/>
  <c r="CL20" i="9"/>
  <c r="BO20" i="9"/>
  <c r="K28" i="9"/>
  <c r="BD26" i="9"/>
  <c r="AU26" i="9"/>
  <c r="AO20" i="9"/>
  <c r="AY22" i="9"/>
  <c r="T26" i="9"/>
  <c r="AP9" i="19" s="1"/>
  <c r="AA28" i="9"/>
  <c r="AP26" i="9"/>
  <c r="F29" i="9"/>
  <c r="CR21" i="9"/>
  <c r="AW27" i="9"/>
  <c r="Z22" i="9"/>
  <c r="AE24" i="9"/>
  <c r="CH26" i="9"/>
  <c r="DD9" i="19" s="1"/>
  <c r="AS20" i="9"/>
  <c r="CC21" i="9"/>
  <c r="AX28" i="9"/>
  <c r="BF26" i="9"/>
  <c r="AA24" i="9"/>
  <c r="X20" i="9"/>
  <c r="AB22" i="9"/>
  <c r="E23" i="9"/>
  <c r="BJ23" i="9"/>
  <c r="K27" i="9"/>
  <c r="BQ27" i="9"/>
  <c r="CE20" i="9"/>
  <c r="BE20" i="9"/>
  <c r="BK23" i="9"/>
  <c r="W20" i="9"/>
  <c r="V22" i="9"/>
  <c r="AJ26" i="9"/>
  <c r="L26" i="9"/>
  <c r="BM21" i="9"/>
  <c r="BV24" i="9"/>
  <c r="H29" i="9"/>
  <c r="BH23" i="9"/>
  <c r="BJ22" i="9"/>
  <c r="K14" i="15"/>
  <c r="CI22" i="9"/>
  <c r="BT20" i="9"/>
  <c r="BB23" i="9"/>
  <c r="CB27" i="9"/>
  <c r="AR24" i="9"/>
  <c r="CK21" i="9"/>
  <c r="AT22" i="9"/>
  <c r="AM27" i="9"/>
  <c r="BI10" i="19" s="1"/>
  <c r="H21" i="9"/>
  <c r="BN27" i="9"/>
  <c r="CN25" i="9"/>
  <c r="AS29" i="9"/>
  <c r="CO29" i="9"/>
  <c r="AX22" i="9"/>
  <c r="V20" i="9"/>
  <c r="AG28" i="9"/>
  <c r="BC11" i="19" s="1"/>
  <c r="CH20" i="9"/>
  <c r="Q27" i="9"/>
  <c r="CO21" i="9"/>
  <c r="G22" i="9"/>
  <c r="BU21" i="9"/>
  <c r="AG29" i="9"/>
  <c r="X28" i="9"/>
  <c r="CR27" i="9"/>
  <c r="DN10" i="19" s="1"/>
  <c r="AZ29" i="9"/>
  <c r="AB20" i="9"/>
  <c r="L29" i="9"/>
  <c r="S22" i="9"/>
  <c r="BD23" i="9"/>
  <c r="CB25" i="9"/>
  <c r="BY24" i="9"/>
  <c r="BN26" i="9"/>
  <c r="CJ9" i="19" s="1"/>
  <c r="CJ26" i="9"/>
  <c r="X26" i="9"/>
  <c r="O22" i="9"/>
  <c r="AW24" i="9"/>
  <c r="AP27" i="9"/>
  <c r="BG27" i="9"/>
  <c r="BB29" i="9"/>
  <c r="AC28" i="9"/>
  <c r="AY11" i="19" s="1"/>
  <c r="BT25" i="9"/>
  <c r="AC27" i="9"/>
  <c r="S21" i="9"/>
  <c r="BJ25" i="9"/>
  <c r="V23" i="9"/>
  <c r="BI24" i="9"/>
  <c r="K26" i="9"/>
  <c r="BQ25" i="9"/>
  <c r="CM8" i="19" s="1"/>
  <c r="W28" i="9"/>
  <c r="N23" i="9"/>
  <c r="AI28" i="9"/>
  <c r="AV29" i="9"/>
  <c r="P21" i="9"/>
  <c r="CG26" i="9"/>
  <c r="DC9" i="19" s="1"/>
  <c r="BC25" i="9"/>
  <c r="AE29" i="9"/>
  <c r="BX29" i="9"/>
  <c r="I22" i="9"/>
  <c r="CO20" i="9"/>
  <c r="BO27" i="9"/>
  <c r="S23" i="9"/>
  <c r="AZ22" i="9"/>
  <c r="V29" i="9"/>
  <c r="AP23" i="9"/>
  <c r="X27" i="9"/>
  <c r="AU24" i="9"/>
  <c r="Z28" i="9"/>
  <c r="AS25" i="9"/>
  <c r="BC28" i="9"/>
  <c r="E29" i="9"/>
  <c r="BH25" i="9"/>
  <c r="BU29" i="9"/>
  <c r="CQ12" i="19" s="1"/>
  <c r="AD28" i="9"/>
  <c r="BG20" i="9"/>
  <c r="O21" i="9"/>
  <c r="BS27" i="9"/>
  <c r="AG27" i="9"/>
  <c r="BY26" i="9"/>
  <c r="CF29" i="9"/>
  <c r="BN21" i="9"/>
  <c r="AN29" i="9"/>
  <c r="U26" i="9"/>
  <c r="BR24" i="9"/>
  <c r="AN26" i="9"/>
  <c r="Z27" i="9"/>
  <c r="CF26" i="9"/>
  <c r="Q20" i="9"/>
  <c r="AI22" i="9"/>
  <c r="H23" i="9"/>
  <c r="BR29" i="9"/>
  <c r="CH21" i="9"/>
  <c r="Q28" i="9"/>
  <c r="BJ21" i="9"/>
  <c r="CG22" i="9"/>
  <c r="DC5" i="19" s="1"/>
  <c r="Z29" i="9"/>
  <c r="AF27" i="9"/>
  <c r="BB10" i="19" s="1"/>
  <c r="T24" i="9"/>
  <c r="AT24" i="9"/>
  <c r="AT21" i="9"/>
  <c r="BF21" i="9"/>
  <c r="CC23" i="9"/>
  <c r="G26" i="9"/>
  <c r="BB25" i="9"/>
  <c r="CD24" i="9"/>
  <c r="CZ7" i="19" s="1"/>
  <c r="AK22" i="9"/>
  <c r="BX28" i="9"/>
  <c r="Z20" i="9"/>
  <c r="CE29" i="9"/>
  <c r="BR20" i="9"/>
  <c r="CD21" i="9"/>
  <c r="BL27" i="9"/>
  <c r="M20" i="9"/>
  <c r="Z24" i="9"/>
  <c r="AX24" i="9"/>
  <c r="H27" i="9"/>
  <c r="BC24" i="9"/>
  <c r="CF20" i="9"/>
  <c r="AB25" i="9"/>
  <c r="CO28" i="9"/>
  <c r="M27" i="9"/>
  <c r="CD23" i="9"/>
  <c r="W22" i="9"/>
  <c r="J24" i="9"/>
  <c r="N26" i="9"/>
  <c r="BP22" i="9"/>
  <c r="BE24" i="9"/>
  <c r="AJ24" i="9"/>
  <c r="BQ28" i="9"/>
  <c r="CM11" i="19" s="1"/>
  <c r="CM26" i="9"/>
  <c r="AF22" i="9"/>
  <c r="CK29" i="9"/>
  <c r="S25" i="9"/>
  <c r="I28" i="9"/>
  <c r="F20" i="9"/>
  <c r="CB22" i="9"/>
  <c r="AZ23" i="9"/>
  <c r="U27" i="9"/>
  <c r="BY21" i="9"/>
  <c r="CD20" i="9"/>
  <c r="Q29" i="9"/>
  <c r="BO22" i="9"/>
  <c r="AR26" i="9"/>
  <c r="BA25" i="9"/>
  <c r="AS28" i="9"/>
  <c r="BO11" i="19" s="1"/>
  <c r="CK24" i="9"/>
  <c r="O25" i="9"/>
  <c r="CJ22" i="9"/>
  <c r="BB22" i="9"/>
  <c r="E25" i="9"/>
  <c r="CQ23" i="9"/>
  <c r="AA29" i="9"/>
  <c r="CA20" i="9"/>
  <c r="AW28" i="9"/>
  <c r="BZ21" i="9"/>
  <c r="AU27" i="9"/>
  <c r="BP28" i="9"/>
  <c r="CQ21" i="9"/>
  <c r="CR28" i="9"/>
  <c r="K22" i="9"/>
  <c r="AV23" i="9"/>
  <c r="CA21" i="9"/>
  <c r="AJ22" i="9"/>
  <c r="CB24" i="9"/>
  <c r="BQ29" i="9"/>
  <c r="CP20" i="9"/>
  <c r="CH29" i="9"/>
  <c r="BT28" i="9"/>
  <c r="J21" i="9"/>
  <c r="AD21" i="9"/>
  <c r="O27" i="9"/>
  <c r="BY28" i="9"/>
  <c r="BF24" i="9"/>
  <c r="BE29" i="9"/>
  <c r="CP21" i="9"/>
  <c r="CK20" i="9"/>
  <c r="AA26" i="9"/>
  <c r="AW9" i="19" s="1"/>
  <c r="AG26" i="9"/>
  <c r="AA23" i="9"/>
  <c r="Y22" i="9"/>
  <c r="BY22" i="9"/>
  <c r="AK27" i="9"/>
  <c r="Y25" i="9"/>
  <c r="AL21" i="9"/>
  <c r="BX25" i="9"/>
  <c r="CT8" i="19" s="1"/>
  <c r="H20" i="9"/>
  <c r="W24" i="9"/>
  <c r="BL22" i="9"/>
  <c r="CK26" i="9"/>
  <c r="BV26" i="9"/>
  <c r="CE22" i="9"/>
  <c r="R22" i="9"/>
  <c r="O28" i="9"/>
  <c r="AK11" i="19" s="1"/>
  <c r="R20" i="9"/>
  <c r="CF23" i="9"/>
  <c r="AX23" i="9"/>
  <c r="U23" i="9"/>
  <c r="BA26" i="9"/>
  <c r="BE28" i="9"/>
  <c r="AI23" i="9"/>
  <c r="CH27" i="9"/>
  <c r="DD10" i="19" s="1"/>
  <c r="J27" i="9"/>
  <c r="CN22" i="9"/>
  <c r="AG25" i="9"/>
  <c r="BQ20" i="9"/>
  <c r="BC21" i="9"/>
  <c r="J22" i="9"/>
  <c r="AH20" i="9"/>
  <c r="AD26" i="9"/>
  <c r="AZ9" i="19" s="1"/>
  <c r="J28" i="9"/>
  <c r="AY28" i="9"/>
  <c r="F23" i="9"/>
  <c r="S26" i="9"/>
  <c r="CD22" i="9"/>
  <c r="CC24" i="9"/>
  <c r="BY23" i="9"/>
  <c r="K23" i="9"/>
  <c r="AU22" i="9"/>
  <c r="CP24" i="9"/>
  <c r="CF25" i="9"/>
  <c r="AY20" i="9"/>
  <c r="BH29" i="9"/>
  <c r="I25" i="9"/>
  <c r="S29" i="9"/>
  <c r="BJ29" i="9"/>
  <c r="AB29" i="9"/>
  <c r="BP29" i="9"/>
  <c r="U28" i="9"/>
  <c r="CP26" i="9"/>
  <c r="BJ20" i="9"/>
  <c r="BQ26" i="9"/>
  <c r="BH28" i="9"/>
  <c r="BG22" i="9"/>
  <c r="CB21" i="9"/>
  <c r="CA27" i="9"/>
  <c r="CA29" i="9"/>
  <c r="BG21" i="9"/>
  <c r="CO24" i="9"/>
  <c r="BN23" i="9"/>
  <c r="I23" i="9"/>
  <c r="CI28" i="9"/>
  <c r="DE11" i="19" s="1"/>
  <c r="BP27" i="9"/>
  <c r="CA26" i="9"/>
  <c r="U20" i="9"/>
  <c r="CJ23" i="9"/>
  <c r="AX25" i="9"/>
  <c r="BQ21" i="9"/>
  <c r="AH26" i="9"/>
  <c r="AE25" i="9"/>
  <c r="BA8" i="19" s="1"/>
  <c r="AK25" i="9"/>
  <c r="Y26" i="9"/>
  <c r="AU25" i="9"/>
  <c r="CI20" i="9"/>
  <c r="CM20" i="9"/>
  <c r="AX29" i="9"/>
  <c r="CC27" i="9"/>
  <c r="J25" i="9"/>
  <c r="AF8" i="19" s="1"/>
  <c r="CL26" i="9"/>
  <c r="N25" i="9"/>
  <c r="AY27" i="9"/>
  <c r="E20" i="9"/>
  <c r="Z23" i="9"/>
  <c r="AE27" i="9"/>
  <c r="AN25" i="9"/>
  <c r="CJ24" i="9"/>
  <c r="DF7" i="19" s="1"/>
  <c r="AT25" i="9"/>
  <c r="AD24" i="9"/>
  <c r="AI25" i="9"/>
  <c r="AL29" i="9"/>
  <c r="F22" i="9"/>
  <c r="BO23" i="9"/>
  <c r="Y28" i="9"/>
  <c r="BZ28" i="9"/>
  <c r="CV11" i="19" s="1"/>
  <c r="AZ24" i="9"/>
  <c r="CE21" i="9"/>
  <c r="CL22" i="9"/>
  <c r="BW20" i="9"/>
  <c r="BK26" i="9"/>
  <c r="CQ27" i="9"/>
  <c r="F26" i="9"/>
  <c r="BE23" i="9"/>
  <c r="BI23" i="9"/>
  <c r="AG21" i="9"/>
  <c r="BG26" i="9"/>
  <c r="AT23" i="9"/>
  <c r="Y29" i="9"/>
  <c r="P26" i="9"/>
  <c r="AI21" i="9"/>
  <c r="BK27" i="9"/>
  <c r="AT27" i="9"/>
  <c r="CC29" i="9"/>
  <c r="AP20" i="9"/>
  <c r="BV22" i="9"/>
  <c r="BC26" i="9"/>
  <c r="BC22" i="9"/>
  <c r="S27" i="9"/>
  <c r="BG28" i="9"/>
  <c r="CC11" i="19" s="1"/>
  <c r="AL22" i="9"/>
  <c r="T27" i="9"/>
  <c r="AW21" i="9"/>
  <c r="AH28" i="9"/>
  <c r="CA28" i="9"/>
  <c r="BJ28" i="9"/>
  <c r="AN24" i="9"/>
  <c r="BN24" i="9"/>
  <c r="AC25" i="9"/>
  <c r="AJ25" i="9"/>
  <c r="AL27" i="9"/>
  <c r="AO25" i="9"/>
  <c r="BA23" i="9"/>
  <c r="CK22" i="9"/>
  <c r="CB23" i="9"/>
  <c r="AW25" i="9"/>
  <c r="BS8" i="19" s="1"/>
  <c r="G20" i="9"/>
  <c r="AR23" i="9"/>
  <c r="AW23" i="9"/>
  <c r="CE26" i="9"/>
  <c r="BI20" i="9"/>
  <c r="AM25" i="9"/>
  <c r="G29" i="9"/>
  <c r="AO28" i="9"/>
  <c r="BK11" i="19" s="1"/>
  <c r="BQ22" i="9"/>
  <c r="M25" i="9"/>
  <c r="BZ29" i="9"/>
  <c r="BX22" i="9"/>
  <c r="AB24" i="9"/>
  <c r="AT29" i="9"/>
  <c r="AS24" i="9"/>
  <c r="Y24" i="9"/>
  <c r="AU7" i="19" s="1"/>
  <c r="CN26" i="9"/>
  <c r="BK29" i="9"/>
  <c r="BF28" i="9"/>
  <c r="Z26" i="9"/>
  <c r="AC23" i="9"/>
  <c r="Y27" i="9"/>
  <c r="K21" i="9"/>
  <c r="AR27" i="9"/>
  <c r="BN10" i="19" s="1"/>
  <c r="CK23" i="9"/>
  <c r="CK28" i="9"/>
  <c r="AR25" i="9"/>
  <c r="CR22" i="9"/>
  <c r="CA22" i="9"/>
  <c r="AA20" i="9"/>
  <c r="R27" i="9"/>
  <c r="T22" i="9"/>
  <c r="CL24" i="9"/>
  <c r="AT20" i="9"/>
  <c r="BL25" i="9"/>
  <c r="BF22" i="9"/>
  <c r="BX24" i="9"/>
  <c r="BB20" i="9"/>
  <c r="AB28" i="9"/>
  <c r="CM28" i="9"/>
  <c r="DI11" i="19" s="1"/>
  <c r="BZ27" i="9"/>
  <c r="CG27" i="9"/>
  <c r="DC10" i="19" s="1"/>
  <c r="BT29" i="9"/>
  <c r="BS23" i="9"/>
  <c r="AY25" i="9"/>
  <c r="BB28" i="9"/>
  <c r="H28" i="9"/>
  <c r="AJ27" i="9"/>
  <c r="BF10" i="19" s="1"/>
  <c r="CL23" i="9"/>
  <c r="F27" i="9"/>
  <c r="M22" i="9"/>
  <c r="BY20" i="9"/>
  <c r="BC29" i="9"/>
  <c r="X21" i="9"/>
  <c r="P23" i="9"/>
  <c r="AL28" i="9"/>
  <c r="BH11" i="19" s="1"/>
  <c r="BA22" i="9"/>
  <c r="AN28" i="9"/>
  <c r="CJ27" i="9"/>
  <c r="BU27" i="9"/>
  <c r="AO21" i="9"/>
  <c r="BV28" i="9"/>
  <c r="X23" i="9"/>
  <c r="W23" i="9"/>
  <c r="AS6" i="19" s="1"/>
  <c r="L23" i="9"/>
  <c r="AM28" i="9"/>
  <c r="BW26" i="9"/>
  <c r="CS9" i="19" s="1"/>
  <c r="CM25" i="9"/>
  <c r="BR25" i="9"/>
  <c r="U25" i="9"/>
  <c r="BM23" i="9"/>
  <c r="AQ23" i="9"/>
  <c r="AN20" i="9"/>
  <c r="AS23" i="9"/>
  <c r="CR25" i="9"/>
  <c r="U22" i="9"/>
  <c r="AY26" i="9"/>
  <c r="CH24" i="9"/>
  <c r="BT23" i="9"/>
  <c r="CP25" i="9"/>
  <c r="DL8" i="19" s="1"/>
  <c r="R24" i="9"/>
  <c r="AO23" i="9"/>
  <c r="BK21" i="9"/>
  <c r="AU21" i="9"/>
  <c r="CI29" i="9"/>
  <c r="CE23" i="9"/>
  <c r="AF21" i="9"/>
  <c r="CH22" i="9"/>
  <c r="K25" i="9"/>
  <c r="R25" i="9"/>
  <c r="BU23" i="9"/>
  <c r="BO28" i="9"/>
  <c r="AV21" i="9"/>
  <c r="AK20" i="9"/>
  <c r="CN23" i="9"/>
  <c r="BU28" i="9"/>
  <c r="CQ11" i="19" s="1"/>
  <c r="AE28" i="9"/>
  <c r="CM29" i="9"/>
  <c r="CM22" i="9"/>
  <c r="BQ23" i="9"/>
  <c r="BL29" i="9"/>
  <c r="AS22" i="9"/>
  <c r="T28" i="9"/>
  <c r="M29" i="9"/>
  <c r="T25" i="9"/>
  <c r="CF28" i="9"/>
  <c r="AP25" i="9"/>
  <c r="CH25" i="9"/>
  <c r="CI23" i="9"/>
  <c r="M21" i="9"/>
  <c r="CD26" i="9"/>
  <c r="AX21" i="9"/>
  <c r="AU20" i="9"/>
  <c r="L28" i="9"/>
  <c r="O29" i="9"/>
  <c r="AK21" i="9"/>
  <c r="I21" i="9"/>
  <c r="AE23" i="9"/>
  <c r="Y23" i="9"/>
  <c r="BD21" i="9"/>
  <c r="BO21" i="9"/>
  <c r="H24" i="9"/>
  <c r="CA25" i="9"/>
  <c r="CO27" i="9"/>
  <c r="AC22" i="9"/>
  <c r="AR28" i="9"/>
  <c r="AK29" i="9"/>
  <c r="AO26" i="9"/>
  <c r="BK9" i="19" s="1"/>
  <c r="BT27" i="9"/>
  <c r="AM21" i="9"/>
  <c r="AN22" i="9"/>
  <c r="AD20" i="9"/>
  <c r="BM20" i="9"/>
  <c r="E21" i="9"/>
  <c r="AV28" i="9"/>
  <c r="N29" i="9"/>
  <c r="AJ12" i="19" s="1"/>
  <c r="G27" i="9"/>
  <c r="R26" i="9"/>
  <c r="CP27" i="9"/>
  <c r="CF22" i="9"/>
  <c r="BC27" i="9"/>
  <c r="CP29" i="9"/>
  <c r="CE27" i="9"/>
  <c r="CL27" i="9"/>
  <c r="DH10" i="19" s="1"/>
  <c r="BX20" i="9"/>
  <c r="AJ23" i="9"/>
  <c r="AQ26" i="9"/>
  <c r="E24" i="9"/>
  <c r="AT26" i="9"/>
  <c r="BO24" i="9"/>
  <c r="AQ24" i="9"/>
  <c r="BP23" i="9"/>
  <c r="BX23" i="9"/>
  <c r="BK28" i="9"/>
  <c r="W26" i="9"/>
  <c r="BW24" i="9"/>
  <c r="BS20" i="9"/>
  <c r="AZ20" i="9"/>
  <c r="AQ27" i="9"/>
  <c r="K20" i="9"/>
  <c r="CC25" i="9"/>
  <c r="Z25" i="9"/>
  <c r="BY27" i="9"/>
  <c r="CF24" i="9"/>
  <c r="I27" i="9"/>
  <c r="G24" i="9"/>
  <c r="P22" i="9"/>
  <c r="BT24" i="9"/>
  <c r="CP7" i="19" s="1"/>
  <c r="V21" i="9"/>
  <c r="BI21" i="9"/>
  <c r="R29" i="9"/>
  <c r="J23" i="9"/>
  <c r="Y21" i="9"/>
  <c r="G28" i="9"/>
  <c r="AH22" i="9"/>
  <c r="BR27" i="9"/>
  <c r="AF24" i="9"/>
  <c r="AH29" i="9"/>
  <c r="BG23" i="9"/>
  <c r="BW21" i="9"/>
  <c r="BS29" i="9"/>
  <c r="BV23" i="9"/>
  <c r="AM29" i="9"/>
  <c r="N27" i="9"/>
  <c r="AJ10" i="19" s="1"/>
  <c r="V25" i="9"/>
  <c r="AO22" i="9"/>
  <c r="BT21" i="9"/>
  <c r="Q22" i="9"/>
  <c r="CC26" i="9"/>
  <c r="BN22" i="9"/>
  <c r="BL23" i="9"/>
  <c r="BR26" i="9"/>
  <c r="CN9" i="19" s="1"/>
  <c r="Q21" i="9"/>
  <c r="K14" i="18"/>
  <c r="BZ26" i="9"/>
  <c r="AJ21" i="9"/>
  <c r="AB23" i="9"/>
  <c r="CD29" i="9"/>
  <c r="N28" i="9"/>
  <c r="AS27" i="9"/>
  <c r="BO10" i="19" s="1"/>
  <c r="BM22" i="9"/>
  <c r="BS25" i="9"/>
  <c r="J29" i="9"/>
  <c r="I24" i="9"/>
  <c r="Q24" i="9"/>
  <c r="BR28" i="9"/>
  <c r="AR21" i="9"/>
  <c r="R28" i="9"/>
  <c r="AN11" i="19" s="1"/>
  <c r="G25" i="9"/>
  <c r="CG21" i="9"/>
  <c r="DC4" i="19" s="1"/>
  <c r="BE22" i="9"/>
  <c r="BA29" i="9"/>
  <c r="CH23" i="9"/>
  <c r="BB21" i="9"/>
  <c r="M26" i="9"/>
  <c r="CG29" i="9"/>
  <c r="DC12" i="19" s="1"/>
  <c r="CR26" i="9"/>
  <c r="H22" i="9"/>
  <c r="BV29" i="9"/>
  <c r="BN25" i="9"/>
  <c r="BE21" i="9"/>
  <c r="CK27" i="9"/>
  <c r="P28" i="9"/>
  <c r="AU29" i="9"/>
  <c r="BQ12" i="19" s="1"/>
  <c r="AG20" i="9"/>
  <c r="CR20" i="9"/>
  <c r="BM27" i="9"/>
  <c r="CM27" i="9"/>
  <c r="BJ26" i="9"/>
  <c r="BN29" i="9"/>
  <c r="AD23" i="9"/>
  <c r="K24" i="9"/>
  <c r="AG7" i="19" s="1"/>
  <c r="BI27" i="9"/>
  <c r="BI25" i="9"/>
  <c r="CE8" i="19" s="1"/>
  <c r="CN20" i="9"/>
  <c r="CL29" i="9"/>
  <c r="CG23" i="9"/>
  <c r="DC6" i="19" s="1"/>
  <c r="AQ29" i="9"/>
  <c r="BK24" i="9"/>
  <c r="AW29" i="9"/>
  <c r="BS12" i="19" s="1"/>
  <c r="AI26" i="9"/>
  <c r="AQ21" i="9"/>
  <c r="AQ22" i="9"/>
  <c r="AH24" i="9"/>
  <c r="AQ20" i="9"/>
  <c r="L25" i="9"/>
  <c r="L21" i="9"/>
  <c r="AE26" i="9"/>
  <c r="E26" i="9"/>
  <c r="F21" i="9"/>
  <c r="CC20" i="9"/>
  <c r="AN27" i="9"/>
  <c r="H26" i="9"/>
  <c r="AK23" i="9"/>
  <c r="CN28" i="9"/>
  <c r="AO29" i="9"/>
  <c r="BK12" i="19" s="1"/>
  <c r="AV27" i="9"/>
  <c r="BY29" i="9"/>
  <c r="BV20" i="9"/>
  <c r="O23" i="9"/>
  <c r="AI20" i="9"/>
  <c r="H25" i="9"/>
  <c r="BF20" i="9"/>
  <c r="X22" i="9"/>
  <c r="BI26" i="9"/>
  <c r="AY24" i="9"/>
  <c r="CO22" i="9"/>
  <c r="AP24" i="9"/>
  <c r="BG29" i="9"/>
  <c r="BL24" i="9"/>
  <c r="CQ22" i="9"/>
  <c r="CO26" i="9"/>
  <c r="DK9" i="19" s="1"/>
  <c r="CM24" i="9"/>
  <c r="P25" i="9"/>
  <c r="BH24" i="9"/>
  <c r="CL25" i="9"/>
  <c r="CG25" i="9"/>
  <c r="DC8" i="19" s="1"/>
  <c r="BB24" i="9"/>
  <c r="BU25" i="9"/>
  <c r="CQ8" i="19" s="1"/>
  <c r="CG28" i="9"/>
  <c r="DC11" i="19" s="1"/>
  <c r="BI28" i="9"/>
  <c r="CI26" i="9"/>
  <c r="BW23" i="9"/>
  <c r="P29" i="9"/>
  <c r="BV25" i="9"/>
  <c r="U21" i="9"/>
  <c r="AO27" i="9"/>
  <c r="AK26" i="9"/>
  <c r="BG9" i="19" s="1"/>
  <c r="CD27" i="9"/>
  <c r="X29" i="9"/>
  <c r="AM20" i="9"/>
  <c r="CR29" i="9"/>
  <c r="CA23" i="9"/>
  <c r="AV24" i="9"/>
  <c r="CO25" i="9"/>
  <c r="BM29" i="9"/>
  <c r="CI12" i="19" s="1"/>
  <c r="AL24" i="9"/>
  <c r="BX21" i="9"/>
  <c r="P24" i="9"/>
  <c r="O24" i="9"/>
  <c r="AH27" i="9"/>
  <c r="F25" i="9"/>
  <c r="CE25" i="9"/>
  <c r="DA8" i="19" s="1"/>
  <c r="AZ26" i="9"/>
  <c r="BV9" i="19" s="1"/>
  <c r="AL23" i="9"/>
  <c r="AD25" i="9"/>
  <c r="AM23" i="9"/>
  <c r="L22" i="9"/>
  <c r="CI24" i="9"/>
  <c r="AZ21" i="9"/>
  <c r="AB27" i="9"/>
  <c r="BD24" i="9"/>
  <c r="BZ7" i="19" s="1"/>
  <c r="R23" i="9"/>
  <c r="V28" i="9"/>
  <c r="CN27" i="9"/>
  <c r="CP22" i="9"/>
  <c r="J20" i="9"/>
  <c r="CB28" i="9"/>
  <c r="CI27" i="9"/>
  <c r="K14" i="22"/>
  <c r="M23" i="9"/>
  <c r="AL26" i="9"/>
  <c r="AA27" i="9"/>
  <c r="AW20" i="9"/>
  <c r="CE24" i="9"/>
  <c r="AE21" i="9"/>
  <c r="BW22" i="9"/>
  <c r="AB21" i="9"/>
  <c r="AM22" i="9"/>
  <c r="AJ29" i="9"/>
  <c r="O20" i="9"/>
  <c r="Q23" i="9"/>
  <c r="CE28" i="9"/>
  <c r="DA11" i="19" s="1"/>
  <c r="AH21" i="9"/>
  <c r="I20" i="9"/>
  <c r="AX27" i="9"/>
  <c r="BT10" i="19" s="1"/>
  <c r="BW28" i="9"/>
  <c r="AO24" i="9"/>
  <c r="V26" i="9"/>
  <c r="AD27" i="9"/>
  <c r="CC22" i="9"/>
  <c r="I29" i="9"/>
  <c r="AA21" i="9"/>
  <c r="BN28" i="9"/>
  <c r="CJ11" i="19" s="1"/>
  <c r="T20" i="9"/>
  <c r="CF27" i="9"/>
  <c r="J26" i="9"/>
  <c r="BV27" i="9"/>
  <c r="BA24" i="9"/>
  <c r="BD22" i="9"/>
  <c r="CQ25" i="9"/>
  <c r="BD28" i="9"/>
  <c r="BZ11" i="19" s="1"/>
  <c r="BU24" i="9"/>
  <c r="BR23" i="9"/>
  <c r="CN21" i="9"/>
  <c r="AN23" i="9"/>
  <c r="BI22" i="9"/>
  <c r="BH21" i="9"/>
  <c r="BZ24" i="9"/>
  <c r="M24" i="9"/>
  <c r="AI7" i="19" s="1"/>
  <c r="BM24" i="9"/>
  <c r="AA22" i="9"/>
  <c r="R21" i="9"/>
  <c r="S28" i="9"/>
  <c r="BA20" i="9"/>
  <c r="CQ29" i="9"/>
  <c r="AC21" i="9"/>
  <c r="CL28" i="9"/>
  <c r="DH11" i="19" s="1"/>
  <c r="AG24" i="9"/>
  <c r="BO25" i="9"/>
  <c r="CN24"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DA9" i="19"/>
  <c r="CS36" i="19"/>
  <c r="DA36" i="19"/>
  <c r="CS32" i="19"/>
  <c r="DA32" i="19"/>
  <c r="CS28" i="19"/>
  <c r="DA28" i="19"/>
  <c r="CS24" i="19"/>
  <c r="DA24" i="19"/>
  <c r="CS20" i="19"/>
  <c r="DA20" i="19"/>
  <c r="CS16" i="19"/>
  <c r="DA16" i="19"/>
  <c r="CS12" i="19"/>
  <c r="DA12" i="19"/>
  <c r="CS8" i="19"/>
  <c r="CS35" i="19"/>
  <c r="DA35" i="19"/>
  <c r="CS31" i="19"/>
  <c r="DA31" i="19"/>
  <c r="CS27" i="19"/>
  <c r="DA27" i="19"/>
  <c r="CS23" i="19"/>
  <c r="DA23" i="19"/>
  <c r="CS19" i="19"/>
  <c r="DA19" i="19"/>
  <c r="CS15" i="19"/>
  <c r="DA15" i="19"/>
  <c r="CS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Q36" i="19"/>
  <c r="CT36" i="19"/>
  <c r="CQ32" i="19"/>
  <c r="CT32" i="19"/>
  <c r="CQ28" i="19"/>
  <c r="CT28" i="19"/>
  <c r="CQ24" i="19"/>
  <c r="CT24" i="19"/>
  <c r="CQ20" i="19"/>
  <c r="CT20" i="19"/>
  <c r="CQ16" i="19"/>
  <c r="CT16" i="19"/>
  <c r="CT12" i="19"/>
  <c r="CQ35" i="19"/>
  <c r="CT35" i="19"/>
  <c r="CQ31" i="19"/>
  <c r="CT31" i="19"/>
  <c r="CQ27" i="19"/>
  <c r="CT27" i="19"/>
  <c r="CQ23" i="19"/>
  <c r="CT23" i="19"/>
  <c r="CQ19" i="19"/>
  <c r="CT19" i="19"/>
  <c r="CQ15" i="19"/>
  <c r="CT15"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5" i="19"/>
  <c r="BA36" i="19"/>
  <c r="AZ36" i="19"/>
  <c r="BA32" i="19"/>
  <c r="AZ32" i="19"/>
  <c r="BA28" i="19"/>
  <c r="AZ28" i="19"/>
  <c r="BA24" i="19"/>
  <c r="AZ24" i="19"/>
  <c r="BA20" i="19"/>
  <c r="AZ20" i="19"/>
  <c r="BA16" i="19"/>
  <c r="AZ16" i="19"/>
  <c r="BA12" i="19"/>
  <c r="AZ12"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F36" i="19"/>
  <c r="AE36" i="19"/>
  <c r="AF32" i="19"/>
  <c r="AE32" i="19"/>
  <c r="AF28" i="19"/>
  <c r="AE28" i="19"/>
  <c r="AF24" i="19"/>
  <c r="AE24" i="19"/>
  <c r="AF20" i="19"/>
  <c r="AE20" i="19"/>
  <c r="AF16" i="19"/>
  <c r="AE16" i="19"/>
  <c r="AF12" i="19"/>
  <c r="AE12"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I12" i="19"/>
  <c r="AJ8" i="19"/>
  <c r="AI8" i="19"/>
  <c r="AJ35" i="19"/>
  <c r="AI35" i="19"/>
  <c r="AJ31" i="19"/>
  <c r="AI31" i="19"/>
  <c r="AJ27" i="19"/>
  <c r="AI27" i="19"/>
  <c r="AJ23" i="19"/>
  <c r="AI23" i="19"/>
  <c r="AJ19" i="19"/>
  <c r="AI19" i="19"/>
  <c r="AJ15" i="19"/>
  <c r="AI15" i="19"/>
  <c r="AJ11" i="19"/>
  <c r="AI11" i="19"/>
  <c r="AJ7" i="19"/>
  <c r="AJ34" i="19"/>
  <c r="AI34" i="19"/>
  <c r="AJ30" i="19"/>
  <c r="AI30" i="19"/>
  <c r="AJ26" i="19"/>
  <c r="AI26" i="19"/>
  <c r="AJ22" i="19"/>
  <c r="AI22" i="19"/>
  <c r="AJ18" i="19"/>
  <c r="AI18" i="19"/>
  <c r="AJ14" i="19"/>
  <c r="AI14"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H10" i="19"/>
  <c r="BJ10" i="19"/>
  <c r="BR10" i="19"/>
  <c r="BU10" i="19"/>
  <c r="BX10" i="19"/>
  <c r="CA10" i="19"/>
  <c r="CK10" i="19"/>
  <c r="CO10" i="19"/>
  <c r="CU10" i="19"/>
  <c r="CX10" i="19"/>
  <c r="BG10" i="19"/>
  <c r="BW10" i="19"/>
  <c r="CH10" i="19"/>
  <c r="BM10" i="19"/>
  <c r="BS10" i="19"/>
  <c r="BV10" i="19"/>
  <c r="BZ10" i="19"/>
  <c r="CG10" i="19"/>
  <c r="CM10" i="19"/>
  <c r="CR10" i="19"/>
  <c r="CY10" i="19"/>
  <c r="DF10" i="19"/>
  <c r="BK10" i="19"/>
  <c r="CB10" i="19"/>
  <c r="CN10" i="19"/>
  <c r="DE10" i="19"/>
  <c r="CC10" i="19"/>
  <c r="CP10" i="19"/>
  <c r="CW10" i="19"/>
  <c r="DG10" i="19"/>
  <c r="BP10" i="19"/>
  <c r="BY10" i="19"/>
  <c r="CJ10" i="19"/>
  <c r="CZ10" i="19"/>
  <c r="DI10" i="19"/>
  <c r="BQ10" i="19"/>
  <c r="CL10" i="19"/>
  <c r="CV10" i="19"/>
  <c r="DB10" i="19"/>
  <c r="DJ10" i="19"/>
  <c r="AX10" i="19"/>
  <c r="BD10" i="19"/>
  <c r="AP10" i="19"/>
  <c r="AT10" i="19"/>
  <c r="AA10" i="19"/>
  <c r="AW10" i="19"/>
  <c r="BE10" i="19"/>
  <c r="DK10" i="19"/>
  <c r="AY10" i="19"/>
  <c r="DL10" i="19"/>
  <c r="DM10" i="19"/>
  <c r="BC10" i="19"/>
  <c r="AR10" i="19"/>
  <c r="AB10" i="19"/>
  <c r="AU10" i="19"/>
  <c r="AD10" i="19"/>
  <c r="AV10" i="19"/>
  <c r="AC10" i="19"/>
  <c r="AQ10" i="19"/>
  <c r="AT6" i="19"/>
  <c r="AR6" i="19"/>
  <c r="AQ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R9" i="19"/>
  <c r="CW9" i="19"/>
  <c r="BN9" i="19"/>
  <c r="BS9" i="19"/>
  <c r="CA9" i="19"/>
  <c r="CG9" i="19"/>
  <c r="CM9" i="19"/>
  <c r="CU9" i="19"/>
  <c r="CY9" i="19"/>
  <c r="DE9" i="19"/>
  <c r="DI9" i="19"/>
  <c r="BI9" i="19"/>
  <c r="BO9" i="19"/>
  <c r="BU9" i="19"/>
  <c r="CP9" i="19"/>
  <c r="CX9" i="19"/>
  <c r="DF9" i="19"/>
  <c r="BH9" i="19"/>
  <c r="BY9" i="19"/>
  <c r="CD9" i="19"/>
  <c r="CO9" i="19"/>
  <c r="BJ9" i="19"/>
  <c r="CK9" i="19"/>
  <c r="CZ9" i="19"/>
  <c r="BX9" i="19"/>
  <c r="CL9" i="19"/>
  <c r="DB9" i="19"/>
  <c r="BF9" i="19"/>
  <c r="BP9" i="19"/>
  <c r="DG9" i="19"/>
  <c r="CB9" i="19"/>
  <c r="CV9" i="19"/>
  <c r="DH9" i="19"/>
  <c r="BC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U12" i="19"/>
  <c r="BY12" i="19"/>
  <c r="CC12" i="19"/>
  <c r="CK12" i="19"/>
  <c r="CP12" i="19"/>
  <c r="CW12" i="19"/>
  <c r="DD12" i="19"/>
  <c r="DI12" i="19"/>
  <c r="BF12" i="19"/>
  <c r="BO12" i="19"/>
  <c r="CA12" i="19"/>
  <c r="CJ12" i="19"/>
  <c r="CR12" i="19"/>
  <c r="CY12" i="19"/>
  <c r="DH12" i="19"/>
  <c r="BJ12" i="19"/>
  <c r="BR12" i="19"/>
  <c r="BW12" i="19"/>
  <c r="CL12" i="19"/>
  <c r="CU12" i="19"/>
  <c r="DB12" i="19"/>
  <c r="BM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CH8" i="19"/>
  <c r="CP8" i="19"/>
  <c r="CY8" i="19"/>
  <c r="DG8" i="19"/>
  <c r="BK8" i="19"/>
  <c r="BW8" i="19"/>
  <c r="DB8" i="19"/>
  <c r="BM8" i="19"/>
  <c r="BY8" i="19"/>
  <c r="CN8" i="19"/>
  <c r="DF8" i="19"/>
  <c r="BG8" i="19"/>
  <c r="CB8" i="19"/>
  <c r="CV8" i="19"/>
  <c r="CG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CN11" i="19"/>
  <c r="CR11" i="19"/>
  <c r="CW11" i="19"/>
  <c r="DB11" i="19"/>
  <c r="DG11" i="19"/>
  <c r="BJ11" i="19"/>
  <c r="BX11" i="19"/>
  <c r="CH11" i="19"/>
  <c r="CO11" i="19"/>
  <c r="CZ11" i="19"/>
  <c r="BR11" i="19"/>
  <c r="BV11" i="19"/>
  <c r="CB11" i="19"/>
  <c r="CL11" i="19"/>
  <c r="CU11" i="19"/>
  <c r="DD11" i="19"/>
  <c r="BS11" i="19"/>
  <c r="BY11" i="19"/>
  <c r="CD11" i="19"/>
  <c r="BI11" i="19"/>
  <c r="BN11" i="19"/>
  <c r="BU11" i="19"/>
  <c r="CG11" i="19"/>
  <c r="CP11" i="19"/>
  <c r="CX11" i="19"/>
  <c r="DF11" i="19"/>
  <c r="BF11" i="19"/>
  <c r="BP11" i="19"/>
  <c r="CA11" i="19"/>
  <c r="CK11" i="19"/>
  <c r="CY11" i="19"/>
  <c r="DM11" i="19"/>
  <c r="BE11" i="19"/>
  <c r="AP11" i="19"/>
  <c r="AT11" i="19"/>
  <c r="DJ11" i="19"/>
  <c r="DK11" i="19"/>
  <c r="AW11" i="19"/>
  <c r="BD11" i="19"/>
  <c r="DL11" i="19"/>
  <c r="AX11" i="19"/>
  <c r="DN11" i="19"/>
  <c r="BB11" i="19"/>
  <c r="AD11" i="19"/>
  <c r="AU11" i="19"/>
  <c r="AC11" i="19"/>
  <c r="AS11" i="19"/>
  <c r="AV11" i="19"/>
  <c r="AQ11" i="19"/>
  <c r="AB11" i="19"/>
  <c r="AR11" i="19"/>
  <c r="BI7" i="19"/>
  <c r="BK7" i="19"/>
  <c r="BO7" i="19"/>
  <c r="BS7" i="19"/>
  <c r="BY7" i="19"/>
  <c r="CG7" i="19"/>
  <c r="CL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BM7" i="19"/>
  <c r="CN7" i="19"/>
  <c r="BN7" i="19"/>
  <c r="DG7" i="19"/>
  <c r="BH7" i="19"/>
  <c r="CD7" i="19"/>
  <c r="CW7" i="19"/>
  <c r="BU7" i="19"/>
  <c r="CH7" i="19"/>
  <c r="CX7" i="19"/>
  <c r="AY7" i="19"/>
  <c r="BE7" i="19"/>
  <c r="AP7" i="19"/>
  <c r="AT7" i="19"/>
  <c r="DN7" i="19"/>
  <c r="AW7" i="19"/>
  <c r="BD7" i="19"/>
  <c r="DJ7" i="19"/>
  <c r="AX7" i="19"/>
  <c r="DK7" i="19"/>
  <c r="BB7" i="19"/>
  <c r="DL7" i="19"/>
  <c r="BC7" i="19"/>
  <c r="AD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10" i="9"/>
  <c r="P9"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J55" i="9"/>
  <c r="I172" i="15"/>
  <c r="BX55" i="9"/>
  <c r="CC55" i="9"/>
  <c r="J362" i="14"/>
  <c r="I324" i="14"/>
  <c r="O55" i="9"/>
  <c r="I704" i="14"/>
  <c r="BA55" i="9"/>
  <c r="H55" i="9"/>
  <c r="G210" i="14"/>
  <c r="AN55" i="9"/>
  <c r="BY55" i="9"/>
  <c r="I666" i="14"/>
  <c r="CM55" i="9"/>
  <c r="F134" i="15"/>
  <c r="H1692" i="21"/>
  <c r="I628" i="14"/>
  <c r="H1882" i="22"/>
  <c r="BK55" i="9"/>
  <c r="BS55" i="9"/>
  <c r="BM55" i="9"/>
  <c r="Z55" i="9"/>
  <c r="BZ55" i="9"/>
  <c r="AW55" i="9"/>
  <c r="H134" i="14"/>
  <c r="CR55" i="9"/>
  <c r="F248" i="14"/>
  <c r="F210" i="14"/>
  <c r="CN55" i="9"/>
  <c r="BU55" i="9"/>
  <c r="F1882" i="22"/>
  <c r="G324" i="14"/>
  <c r="BF55" i="9"/>
  <c r="BV55" i="9"/>
  <c r="BJ55" i="9"/>
  <c r="AE55" i="9"/>
  <c r="H628" i="14"/>
  <c r="J172" i="14"/>
  <c r="CQ55" i="9"/>
  <c r="H96" i="14"/>
  <c r="I172" i="14"/>
  <c r="F172" i="14"/>
  <c r="J324" i="14"/>
  <c r="J704" i="14"/>
  <c r="AD55" i="9"/>
  <c r="G1882" i="22"/>
  <c r="CI55" i="9"/>
  <c r="T55" i="9"/>
  <c r="AF55" i="9"/>
  <c r="G134" i="15"/>
  <c r="G704" i="14"/>
  <c r="J628" i="14"/>
  <c r="H210" i="14"/>
  <c r="G172" i="15"/>
  <c r="AA55" i="9"/>
  <c r="I134" i="15"/>
  <c r="CB55" i="9"/>
  <c r="BD55" i="9"/>
  <c r="F362" i="14"/>
  <c r="AL55" i="9"/>
  <c r="CP55" i="9"/>
  <c r="H172" i="15"/>
  <c r="AC55" i="9"/>
  <c r="F514" i="14"/>
  <c r="H286" i="14"/>
  <c r="J1692" i="21"/>
  <c r="G55" i="9"/>
  <c r="I248" i="14"/>
  <c r="J286" i="14"/>
  <c r="F666" i="14"/>
  <c r="AM55" i="9"/>
  <c r="AB55" i="9"/>
  <c r="J134" i="15"/>
  <c r="J210" i="14"/>
  <c r="BH55" i="9"/>
  <c r="AP55" i="9"/>
  <c r="F324" i="14"/>
  <c r="G628" i="14"/>
  <c r="J1882" i="22"/>
  <c r="H248" i="14"/>
  <c r="I362" i="14"/>
  <c r="AV55" i="9"/>
  <c r="BW55" i="9"/>
  <c r="H324" i="14"/>
  <c r="F400" i="14"/>
  <c r="H514" i="14"/>
  <c r="E55" i="9"/>
  <c r="BN55" i="9"/>
  <c r="H362" i="14"/>
  <c r="W55" i="9"/>
  <c r="BB55" i="9"/>
  <c r="G514" i="14"/>
  <c r="S55" i="9"/>
  <c r="AU55" i="9"/>
  <c r="P55" i="9"/>
  <c r="G666" i="14"/>
  <c r="I96" i="14"/>
  <c r="H134" i="15"/>
  <c r="I400" i="14"/>
  <c r="G248" i="14"/>
  <c r="BL55" i="9"/>
  <c r="F96" i="14"/>
  <c r="BC55" i="9"/>
  <c r="AK55" i="9"/>
  <c r="CO55" i="9"/>
  <c r="J134" i="14"/>
  <c r="F134" i="14"/>
  <c r="G96" i="14"/>
  <c r="BQ55" i="9"/>
  <c r="G400" i="14"/>
  <c r="R55" i="9"/>
  <c r="BE55" i="9"/>
  <c r="AJ55" i="9"/>
  <c r="CG55" i="9"/>
  <c r="CE55" i="9"/>
  <c r="G362" i="14"/>
  <c r="X55" i="9"/>
  <c r="AO55" i="9"/>
  <c r="CJ55" i="9"/>
  <c r="G1692" i="21"/>
  <c r="H400" i="14"/>
  <c r="AQ55" i="9"/>
  <c r="J400" i="14"/>
  <c r="CD55" i="9"/>
  <c r="F704" i="14"/>
  <c r="F286" i="14"/>
  <c r="L55" i="9"/>
  <c r="J666" i="14"/>
  <c r="G172" i="14"/>
  <c r="AI55" i="9"/>
  <c r="G134" i="14"/>
  <c r="H704" i="14"/>
  <c r="CH55" i="9"/>
  <c r="F55" i="9"/>
  <c r="I286" i="14"/>
  <c r="J248" i="14"/>
  <c r="AR55" i="9"/>
  <c r="BG55" i="9"/>
  <c r="I514" i="14"/>
  <c r="N55" i="9"/>
  <c r="AG55" i="9"/>
  <c r="I1882" i="22"/>
  <c r="F172" i="15"/>
  <c r="F628" i="14"/>
  <c r="F1692" i="21"/>
  <c r="H666" i="14"/>
  <c r="BR55" i="9"/>
  <c r="BI55" i="9"/>
  <c r="AZ55" i="9"/>
  <c r="H172" i="14"/>
  <c r="G286" i="14"/>
  <c r="CL55" i="9"/>
  <c r="AX55" i="9"/>
  <c r="Y55" i="9"/>
  <c r="V55" i="9"/>
  <c r="AH55" i="9"/>
  <c r="J96" i="14"/>
  <c r="J172" i="15"/>
  <c r="Q55" i="9"/>
  <c r="J514" i="14"/>
  <c r="I210" i="14"/>
  <c r="BP55" i="9"/>
  <c r="BO55" i="9"/>
  <c r="U55" i="9"/>
  <c r="BT55" i="9"/>
  <c r="AY55" i="9"/>
  <c r="I55" i="9"/>
  <c r="I134" i="14"/>
  <c r="CF55" i="9"/>
  <c r="M55" i="9"/>
  <c r="CA55" i="9"/>
  <c r="AT55" i="9"/>
  <c r="AS55" i="9"/>
  <c r="K55" i="9"/>
  <c r="I1692" i="21"/>
  <c r="CK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616" i="21"/>
  <c r="G1122" i="22"/>
  <c r="G1844" i="22"/>
  <c r="G1350" i="21"/>
  <c r="I970" i="22"/>
  <c r="J1008" i="22"/>
  <c r="H1540" i="22"/>
  <c r="F970" i="21"/>
  <c r="H1426" i="22"/>
  <c r="J970" i="22"/>
  <c r="G1616" i="21"/>
  <c r="F1654" i="21"/>
  <c r="J1654" i="21"/>
  <c r="H1350" i="21"/>
  <c r="I1426" i="22"/>
  <c r="I1122" i="22"/>
  <c r="G1654" i="21"/>
  <c r="G1578" i="22"/>
  <c r="I1844" i="22"/>
  <c r="F1616" i="21"/>
  <c r="F1426" i="22"/>
  <c r="F1578" i="22"/>
  <c r="I1350" i="21"/>
  <c r="H1844" i="22"/>
  <c r="J1426" i="22"/>
  <c r="J1578" i="22"/>
  <c r="G970" i="22"/>
  <c r="G1008" i="22"/>
  <c r="J1540" i="22"/>
  <c r="I1540" i="22"/>
  <c r="J1350" i="21"/>
  <c r="G970" i="21"/>
  <c r="F1844" i="22"/>
  <c r="H970" i="21"/>
  <c r="J970" i="21"/>
  <c r="J1616" i="21"/>
  <c r="I1008" i="22"/>
  <c r="H1654" i="21"/>
  <c r="H1122" i="22"/>
  <c r="G1540" i="22"/>
  <c r="H1008" i="22"/>
  <c r="H1578" i="22"/>
  <c r="I970" i="21"/>
  <c r="I1654" i="21"/>
  <c r="H1616" i="21"/>
  <c r="J1122" i="22"/>
  <c r="J1844" i="22"/>
  <c r="F970" i="22"/>
  <c r="H970" i="22"/>
  <c r="F1540" i="22"/>
  <c r="G1426" i="22"/>
  <c r="F1008" i="22"/>
  <c r="F1350" i="21"/>
  <c r="I1578"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476" i="14"/>
  <c r="J894" i="22"/>
  <c r="J20" i="5"/>
  <c r="H552" i="22"/>
  <c r="F1312" i="21"/>
  <c r="I1388" i="22"/>
  <c r="F742" i="21"/>
  <c r="G704" i="21"/>
  <c r="G324" i="21"/>
  <c r="I96" i="21"/>
  <c r="G20" i="5"/>
  <c r="H58" i="13"/>
  <c r="I476" i="21"/>
  <c r="J134" i="21"/>
  <c r="G856" i="22"/>
  <c r="G172" i="22"/>
  <c r="G590" i="14"/>
  <c r="G96" i="18"/>
  <c r="H514" i="21"/>
  <c r="J20" i="18"/>
  <c r="J1464" i="22"/>
  <c r="J20" i="15"/>
  <c r="F590" i="21"/>
  <c r="I172" i="5"/>
  <c r="J172" i="21"/>
  <c r="J96" i="18"/>
  <c r="H780" i="22"/>
  <c r="I438" i="22"/>
  <c r="G1236" i="21"/>
  <c r="J58" i="18"/>
  <c r="G818" i="21"/>
  <c r="F1464" i="22"/>
  <c r="H20" i="5"/>
  <c r="J514" i="22"/>
  <c r="I210" i="22"/>
  <c r="F1464" i="21"/>
  <c r="G1616" i="22"/>
  <c r="I248" i="22"/>
  <c r="F58" i="14"/>
  <c r="I742" i="22"/>
  <c r="G248" i="22"/>
  <c r="H628" i="22"/>
  <c r="H20" i="21"/>
  <c r="F1730" i="22"/>
  <c r="H856" i="22"/>
  <c r="I894" i="21"/>
  <c r="H172" i="21"/>
  <c r="H1122" i="21"/>
  <c r="J1502" i="22"/>
  <c r="I1464" i="21"/>
  <c r="I20" i="13"/>
  <c r="F58" i="15"/>
  <c r="I96" i="18"/>
  <c r="F552" i="22"/>
  <c r="F96" i="15"/>
  <c r="H172" i="22"/>
  <c r="J1388" i="22"/>
  <c r="H1198" i="22"/>
  <c r="I324" i="15"/>
  <c r="H58" i="18"/>
  <c r="H362" i="21"/>
  <c r="F1388" i="22"/>
  <c r="F1122" i="21"/>
  <c r="I590" i="14"/>
  <c r="H552" i="21"/>
  <c r="I58" i="5"/>
  <c r="J1236" i="22"/>
  <c r="G1654" i="22"/>
  <c r="H134" i="5"/>
  <c r="F1046" i="21"/>
  <c r="G1198" i="21"/>
  <c r="J590" i="22"/>
  <c r="I1502" i="21"/>
  <c r="I248" i="21"/>
  <c r="J134" i="5"/>
  <c r="G1806" i="22"/>
  <c r="J134" i="22"/>
  <c r="I932" i="21"/>
  <c r="H400" i="21"/>
  <c r="I552" i="14"/>
  <c r="I666" i="21"/>
  <c r="G248" i="21"/>
  <c r="G628" i="21"/>
  <c r="G20" i="18"/>
  <c r="G552" i="21"/>
  <c r="I286" i="15"/>
  <c r="I134" i="22"/>
  <c r="G1084" i="22"/>
  <c r="I172" i="18"/>
  <c r="I172" i="21"/>
  <c r="I894" i="22"/>
  <c r="H1046" i="22"/>
  <c r="I1236" i="21"/>
  <c r="J476" i="22"/>
  <c r="F590" i="22"/>
  <c r="I1540" i="21"/>
  <c r="J58" i="13"/>
  <c r="F286" i="22"/>
  <c r="F210" i="22"/>
  <c r="G210" i="5"/>
  <c r="I400" i="22"/>
  <c r="H590" i="21"/>
  <c r="F134" i="22"/>
  <c r="H1236" i="21"/>
  <c r="I210" i="15"/>
  <c r="I1502" i="22"/>
  <c r="J1160" i="21"/>
  <c r="F1616" i="22"/>
  <c r="F324" i="22"/>
  <c r="I1768" i="22"/>
  <c r="H1274" i="22"/>
  <c r="I780" i="22"/>
  <c r="G1730" i="22"/>
  <c r="J1350" i="22"/>
  <c r="G20" i="21"/>
  <c r="I20" i="22"/>
  <c r="I1122" i="21"/>
  <c r="F58" i="5"/>
  <c r="H96" i="15"/>
  <c r="J362" i="21"/>
  <c r="F20" i="18"/>
  <c r="H1312" i="22"/>
  <c r="H1616" i="22"/>
  <c r="G1274" i="22"/>
  <c r="H1388" i="21"/>
  <c r="H666" i="22"/>
  <c r="I1312" i="22"/>
  <c r="J552" i="14"/>
  <c r="J1730" i="22"/>
  <c r="G1464" i="21"/>
  <c r="G476" i="22"/>
  <c r="G1768" i="22"/>
  <c r="H248" i="22"/>
  <c r="J400" i="21"/>
  <c r="F628" i="22"/>
  <c r="J96" i="21"/>
  <c r="F1350" i="22"/>
  <c r="H590" i="14"/>
  <c r="I400" i="21"/>
  <c r="I324" i="21"/>
  <c r="F400" i="22"/>
  <c r="F1084" i="21"/>
  <c r="G210" i="21"/>
  <c r="F210" i="21"/>
  <c r="I1008" i="21"/>
  <c r="H134" i="18"/>
  <c r="H20" i="15"/>
  <c r="G932" i="22"/>
  <c r="I1350" i="22"/>
  <c r="H210" i="15"/>
  <c r="J666" i="21"/>
  <c r="I856" i="22"/>
  <c r="H210" i="5"/>
  <c r="J400" i="22"/>
  <c r="G96" i="13"/>
  <c r="F856" i="21"/>
  <c r="J476" i="21"/>
  <c r="H894" i="22"/>
  <c r="G1426" i="21"/>
  <c r="J1312" i="21"/>
  <c r="G1046" i="21"/>
  <c r="I96" i="15"/>
  <c r="J1160" i="22"/>
  <c r="G1312" i="22"/>
  <c r="G96" i="22"/>
  <c r="G1236" i="22"/>
  <c r="H286" i="22"/>
  <c r="H1236" i="22"/>
  <c r="H1046" i="21"/>
  <c r="I552" i="22"/>
  <c r="H818" i="21"/>
  <c r="F96" i="22"/>
  <c r="I1806" i="22"/>
  <c r="J552" i="21"/>
  <c r="J1084" i="21"/>
  <c r="F438" i="22"/>
  <c r="J20" i="14"/>
  <c r="F514" i="22"/>
  <c r="I1692" i="22"/>
  <c r="F134" i="5"/>
  <c r="G58" i="21"/>
  <c r="I704" i="22"/>
  <c r="G134" i="5"/>
  <c r="I362" i="21"/>
  <c r="G1388" i="21"/>
  <c r="H96" i="18"/>
  <c r="J134" i="18"/>
  <c r="G894" i="22"/>
  <c r="J172" i="18"/>
  <c r="J58" i="21"/>
  <c r="G248" i="15"/>
  <c r="I514" i="21"/>
  <c r="G96" i="5"/>
  <c r="H96" i="21"/>
  <c r="H20" i="13"/>
  <c r="F324" i="21"/>
  <c r="H134" i="22"/>
  <c r="I932" i="22"/>
  <c r="F818" i="22"/>
  <c r="I1236" i="22"/>
  <c r="I1198" i="21"/>
  <c r="J1122" i="21"/>
  <c r="F20" i="13"/>
  <c r="F476" i="21"/>
  <c r="G58" i="14"/>
  <c r="I1084" i="22"/>
  <c r="H476" i="21"/>
  <c r="H666" i="21"/>
  <c r="J1274" i="22"/>
  <c r="I1730" i="22"/>
  <c r="G58" i="22"/>
  <c r="J210" i="21"/>
  <c r="F476" i="14"/>
  <c r="H286" i="21"/>
  <c r="I20" i="21"/>
  <c r="I514" i="22"/>
  <c r="I96" i="13"/>
  <c r="I286" i="21"/>
  <c r="G400" i="22"/>
  <c r="H1464" i="22"/>
  <c r="I1426" i="21"/>
  <c r="F666" i="22"/>
  <c r="F666" i="21"/>
  <c r="F96" i="5"/>
  <c r="G20" i="13"/>
  <c r="G1198" i="22"/>
  <c r="F1312" i="22"/>
  <c r="H210" i="22"/>
  <c r="J438" i="14"/>
  <c r="J172" i="5"/>
  <c r="I1388" i="21"/>
  <c r="G362" i="22"/>
  <c r="J932" i="22"/>
  <c r="J248" i="22"/>
  <c r="F1426" i="21"/>
  <c r="G894" i="21"/>
  <c r="J1388" i="21"/>
  <c r="G1502" i="22"/>
  <c r="J818" i="22"/>
  <c r="J476" i="14"/>
  <c r="F1388" i="21"/>
  <c r="H1388" i="22"/>
  <c r="H96" i="22"/>
  <c r="J590" i="21"/>
  <c r="J286" i="22"/>
  <c r="F172" i="21"/>
  <c r="H438" i="22"/>
  <c r="G172" i="18"/>
  <c r="G552" i="14"/>
  <c r="J324" i="21"/>
  <c r="H248" i="15"/>
  <c r="I58" i="15"/>
  <c r="F20" i="21"/>
  <c r="I96" i="22"/>
  <c r="J324" i="15"/>
  <c r="F172" i="18"/>
  <c r="G438" i="22"/>
  <c r="F1274" i="22"/>
  <c r="F58" i="22"/>
  <c r="I476" i="22"/>
  <c r="G134" i="21"/>
  <c r="F856" i="22"/>
  <c r="J514" i="21"/>
  <c r="I58" i="13"/>
  <c r="G96" i="15"/>
  <c r="F58" i="13"/>
  <c r="I438" i="21"/>
  <c r="J856" i="21"/>
  <c r="I286" i="22"/>
  <c r="H628" i="21"/>
  <c r="J96" i="15"/>
  <c r="I1046" i="21"/>
  <c r="H58" i="14"/>
  <c r="F818" i="21"/>
  <c r="I134" i="21"/>
  <c r="H96" i="5"/>
  <c r="G324" i="15"/>
  <c r="J324" i="22"/>
  <c r="I134" i="18"/>
  <c r="F438" i="21"/>
  <c r="F1160" i="21"/>
  <c r="F1502" i="22"/>
  <c r="J438" i="22"/>
  <c r="H58" i="5"/>
  <c r="G1502" i="21"/>
  <c r="H1084" i="22"/>
  <c r="I1274" i="21"/>
  <c r="F20" i="22"/>
  <c r="J590" i="14"/>
  <c r="F932" i="21"/>
  <c r="G58" i="18"/>
  <c r="F1236" i="21"/>
  <c r="G1046" i="22"/>
  <c r="F1692" i="22"/>
  <c r="F324" i="15"/>
  <c r="J1312" i="22"/>
  <c r="G134" i="22"/>
  <c r="J286" i="21"/>
  <c r="F362" i="21"/>
  <c r="F1502" i="21"/>
  <c r="J1236" i="21"/>
  <c r="I552" i="21"/>
  <c r="F704" i="22"/>
  <c r="F210" i="5"/>
  <c r="G286" i="21"/>
  <c r="J932" i="21"/>
  <c r="J628" i="21"/>
  <c r="G438" i="21"/>
  <c r="F1008" i="21"/>
  <c r="G514" i="22"/>
  <c r="G20" i="22"/>
  <c r="F1654" i="22"/>
  <c r="H324" i="22"/>
  <c r="F20" i="5"/>
  <c r="G476" i="21"/>
  <c r="I818" i="21"/>
  <c r="J248" i="15"/>
  <c r="G172" i="5"/>
  <c r="F286" i="21"/>
  <c r="H476" i="22"/>
  <c r="J856" i="22"/>
  <c r="I1084" i="21"/>
  <c r="H1426" i="21"/>
  <c r="I1274" i="22"/>
  <c r="I172" i="22"/>
  <c r="H1502" i="21"/>
  <c r="G514" i="21"/>
  <c r="I1046" i="22"/>
  <c r="F742" i="22"/>
  <c r="H1160" i="21"/>
  <c r="F400" i="21"/>
  <c r="J248" i="21"/>
  <c r="G324" i="22"/>
  <c r="G286" i="15"/>
  <c r="I134" i="5"/>
  <c r="H134" i="21"/>
  <c r="G134" i="18"/>
  <c r="J742" i="22"/>
  <c r="J704" i="21"/>
  <c r="G780" i="21"/>
  <c r="J362" i="22"/>
  <c r="H932" i="22"/>
  <c r="I704" i="21"/>
  <c r="H1654" i="22"/>
  <c r="H172" i="18"/>
  <c r="I58" i="21"/>
  <c r="G210" i="22"/>
  <c r="H552" i="14"/>
  <c r="G20" i="15"/>
  <c r="H1084" i="21"/>
  <c r="J628" i="22"/>
  <c r="F704" i="21"/>
  <c r="F552" i="14"/>
  <c r="J210" i="5"/>
  <c r="J58" i="14"/>
  <c r="H58" i="22"/>
  <c r="G742" i="21"/>
  <c r="I58" i="18"/>
  <c r="H1464" i="21"/>
  <c r="J1084" i="22"/>
  <c r="H58" i="21"/>
  <c r="F1274" i="21"/>
  <c r="J666" i="22"/>
  <c r="I628" i="21"/>
  <c r="I1464" i="22"/>
  <c r="H248" i="21"/>
  <c r="J20" i="13"/>
  <c r="I856" i="21"/>
  <c r="J1654" i="22"/>
  <c r="G818" i="22"/>
  <c r="H1768" i="22"/>
  <c r="G666" i="22"/>
  <c r="G1312" i="21"/>
  <c r="J286" i="15"/>
  <c r="F552" i="21"/>
  <c r="H20" i="18"/>
  <c r="H400" i="22"/>
  <c r="G856" i="21"/>
  <c r="F96" i="18"/>
  <c r="H324" i="15"/>
  <c r="F134" i="18"/>
  <c r="I210" i="21"/>
  <c r="J210" i="22"/>
  <c r="J1046" i="22"/>
  <c r="H856" i="21"/>
  <c r="G1540" i="21"/>
  <c r="H172" i="5"/>
  <c r="F894" i="21"/>
  <c r="H1008" i="21"/>
  <c r="I1312" i="21"/>
  <c r="G590" i="21"/>
  <c r="H590" i="22"/>
  <c r="I590" i="21"/>
  <c r="F1540" i="21"/>
  <c r="F514" i="21"/>
  <c r="H818" i="22"/>
  <c r="H96" i="13"/>
  <c r="G96" i="21"/>
  <c r="F1160" i="22"/>
  <c r="G400" i="21"/>
  <c r="G1084" i="21"/>
  <c r="J1578" i="21"/>
  <c r="G704" i="22"/>
  <c r="J438" i="21"/>
  <c r="G1160" i="22"/>
  <c r="I438" i="14"/>
  <c r="J1464" i="21"/>
  <c r="F210" i="15"/>
  <c r="H210" i="21"/>
  <c r="F438" i="14"/>
  <c r="G628" i="22"/>
  <c r="H58" i="15"/>
  <c r="H20" i="14"/>
  <c r="G1008" i="21"/>
  <c r="H476" i="14"/>
  <c r="J1768" i="22"/>
  <c r="H514" i="22"/>
  <c r="G1350" i="22"/>
  <c r="G172" i="21"/>
  <c r="G1692" i="22"/>
  <c r="J1274" i="21"/>
  <c r="G1122" i="21"/>
  <c r="F628" i="21"/>
  <c r="F1768" i="22"/>
  <c r="F134" i="21"/>
  <c r="H704" i="21"/>
  <c r="H1578" i="21"/>
  <c r="J1502" i="21"/>
  <c r="F286" i="15"/>
  <c r="I476" i="14"/>
  <c r="F172" i="5"/>
  <c r="F590" i="14"/>
  <c r="J742" i="21"/>
  <c r="H1730" i="22"/>
  <c r="G932" i="21"/>
  <c r="G666" i="21"/>
  <c r="H20" i="22"/>
  <c r="J1806" i="22"/>
  <c r="J1692" i="22"/>
  <c r="I20" i="14"/>
  <c r="H894" i="21"/>
  <c r="G362" i="21"/>
  <c r="G552" i="22"/>
  <c r="H1692" i="22"/>
  <c r="I20" i="18"/>
  <c r="G20" i="14"/>
  <c r="H286" i="15"/>
  <c r="J96" i="13"/>
  <c r="G210" i="15"/>
  <c r="J1540" i="21"/>
  <c r="I780" i="21"/>
  <c r="G58" i="13"/>
  <c r="I628" i="22"/>
  <c r="G438" i="14"/>
  <c r="J172" i="22"/>
  <c r="I1160" i="21"/>
  <c r="I1616" i="22"/>
  <c r="J894" i="21"/>
  <c r="I1198" i="22"/>
  <c r="H324" i="21"/>
  <c r="F1236" i="22"/>
  <c r="F248" i="21"/>
  <c r="I96" i="5"/>
  <c r="F932" i="22"/>
  <c r="I666" i="22"/>
  <c r="H362" i="22"/>
  <c r="J96" i="5"/>
  <c r="G1388" i="22"/>
  <c r="F1046" i="22"/>
  <c r="I210" i="5"/>
  <c r="I1160" i="22"/>
  <c r="H1350" i="22"/>
  <c r="G1160" i="21"/>
  <c r="J1198" i="21"/>
  <c r="J20" i="22"/>
  <c r="G58" i="5"/>
  <c r="F96" i="21"/>
  <c r="H1198" i="21"/>
  <c r="G1578" i="21"/>
  <c r="F172" i="22"/>
  <c r="F1806" i="22"/>
  <c r="F20" i="15"/>
  <c r="G590" i="22"/>
  <c r="H704" i="22"/>
  <c r="J1426" i="21"/>
  <c r="F1578" i="21"/>
  <c r="F476" i="22"/>
  <c r="F780" i="22"/>
  <c r="I818" i="22"/>
  <c r="I58" i="14"/>
  <c r="F20" i="14"/>
  <c r="F362" i="22"/>
  <c r="H1312" i="21"/>
  <c r="G1274" i="21"/>
  <c r="F780" i="21"/>
  <c r="I590" i="22"/>
  <c r="J780" i="21"/>
  <c r="F96" i="13"/>
  <c r="J818" i="21"/>
  <c r="H1160" i="22"/>
  <c r="J96" i="22"/>
  <c r="G742" i="22"/>
  <c r="G286" i="22"/>
  <c r="F1198" i="21"/>
  <c r="F1198" i="22"/>
  <c r="H1540" i="21"/>
  <c r="F1084" i="22"/>
  <c r="H438" i="14"/>
  <c r="J1198" i="22"/>
  <c r="G58" i="15"/>
  <c r="H1502" i="22"/>
  <c r="J58" i="22"/>
  <c r="H932" i="21"/>
  <c r="J704" i="22"/>
  <c r="G1464" i="22"/>
  <c r="J1008" i="21"/>
  <c r="I742" i="21"/>
  <c r="I20" i="5"/>
  <c r="F894" i="22"/>
  <c r="J20" i="21"/>
  <c r="I362" i="22"/>
  <c r="G780" i="22"/>
  <c r="I1654" i="22"/>
  <c r="H742" i="22"/>
  <c r="J1616" i="22"/>
  <c r="H742" i="21"/>
  <c r="J58" i="15"/>
  <c r="J552" i="22"/>
  <c r="F58" i="18"/>
  <c r="H1274" i="21"/>
  <c r="J58" i="5"/>
  <c r="I58" i="22"/>
  <c r="H1806" i="22"/>
  <c r="J210" i="15"/>
  <c r="H780" i="21"/>
  <c r="J1046" i="21"/>
  <c r="H438" i="21"/>
  <c r="F58" i="21"/>
  <c r="I324" i="22"/>
  <c r="I20" i="15"/>
  <c r="F248" i="22"/>
  <c r="I248" i="15"/>
  <c r="F248" i="15"/>
  <c r="J780" i="22"/>
  <c r="I1578" i="21"/>
  <c r="K13" i="15" l="1"/>
  <c r="K12" i="15"/>
  <c r="G12" i="14"/>
  <c r="G12" i="5"/>
  <c r="G12" i="18"/>
  <c r="K13" i="18"/>
  <c r="G12" i="15"/>
  <c r="G14" i="18"/>
  <c r="G14" i="5"/>
  <c r="K13" i="22"/>
  <c r="K13" i="21"/>
  <c r="G13" i="5"/>
  <c r="G14" i="13"/>
  <c r="G14" i="15"/>
  <c r="K13" i="5"/>
  <c r="G13" i="13"/>
  <c r="G13" i="21"/>
  <c r="K12" i="5"/>
  <c r="K13" i="13"/>
  <c r="G13" i="22"/>
  <c r="G13" i="14"/>
  <c r="K12" i="13"/>
  <c r="G14" i="22"/>
  <c r="G12" i="21"/>
  <c r="G13" i="18"/>
  <c r="K12" i="18"/>
  <c r="G14" i="21"/>
  <c r="K13" i="14"/>
  <c r="K12" i="22"/>
  <c r="G13" i="15"/>
  <c r="G12" i="22"/>
  <c r="K12" i="14"/>
  <c r="G12" i="13"/>
  <c r="G14" i="14"/>
  <c r="K12" i="21"/>
  <c r="K15" i="18" l="1"/>
  <c r="K15" i="21"/>
  <c r="G15" i="15"/>
  <c r="G15" i="22"/>
  <c r="K15" i="14"/>
  <c r="G15" i="21"/>
  <c r="K15" i="13"/>
  <c r="K15" i="22"/>
  <c r="G15" i="18"/>
  <c r="G15" i="5"/>
  <c r="G15" i="14"/>
  <c r="K15" i="5"/>
  <c r="K15" i="15"/>
  <c r="G15" i="13"/>
  <c r="H13" i="21" l="1"/>
  <c r="L12" i="21"/>
  <c r="L13" i="21"/>
  <c r="L14" i="21"/>
  <c r="H14" i="21"/>
  <c r="L14" i="15"/>
  <c r="H12" i="22"/>
  <c r="H13" i="15"/>
  <c r="H13" i="22"/>
  <c r="H12" i="21"/>
  <c r="H14" i="22"/>
  <c r="L12" i="15"/>
  <c r="L13" i="22"/>
  <c r="H14" i="15"/>
  <c r="L14" i="22"/>
  <c r="H12" i="15"/>
  <c r="L12" i="22"/>
  <c r="L13" i="15"/>
  <c r="H14" i="18"/>
  <c r="H12" i="18"/>
  <c r="H13" i="18"/>
  <c r="L12" i="18"/>
  <c r="L13" i="18"/>
  <c r="L14" i="18"/>
  <c r="L13" i="13"/>
  <c r="L14" i="13"/>
  <c r="H13" i="13"/>
  <c r="H12" i="13"/>
  <c r="H14" i="13"/>
  <c r="L12" i="13"/>
  <c r="L12" i="14"/>
  <c r="H14" i="14"/>
  <c r="L13" i="14"/>
  <c r="H13" i="14"/>
  <c r="H12" i="14"/>
  <c r="L14" i="14"/>
  <c r="L13" i="5"/>
  <c r="H13" i="5"/>
  <c r="H12" i="5"/>
  <c r="L12" i="5"/>
  <c r="H14" i="5"/>
  <c r="L14" i="5"/>
  <c r="L15" i="21" l="1"/>
  <c r="H15" i="15"/>
  <c r="H15" i="21"/>
  <c r="H15" i="22"/>
  <c r="L15" i="22"/>
  <c r="L15" i="15"/>
  <c r="L15" i="5"/>
  <c r="L15" i="18"/>
  <c r="L15" i="14"/>
  <c r="H15" i="14"/>
  <c r="H15" i="13"/>
  <c r="H15" i="18"/>
  <c r="H15" i="5"/>
  <c r="L1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<sst xmlns="http://schemas.openxmlformats.org/spreadsheetml/2006/main" count="3132" uniqueCount="523">
  <si>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</si>
  <si>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</si>
  <si>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</si>
  <si>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</si>
  <si>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</si>
  <si>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</si>
  <si>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</si>
  <si>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</si>
  <si>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</si>
  <si>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</si>
  <si>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</si>
  <si>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</si>
  <si>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</si>
  <si>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</si>
  <si>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</si>
  <si>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</si>
  <si>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</si>
  <si>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</si>
  <si>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</si>
  <si>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</si>
  <si>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</si>
  <si>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</si>
  <si>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</si>
  <si>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</si>
  <si>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Hospital Universitario El Escorial</t>
  </si>
  <si>
    <t>URL del Sitio Web*</t>
  </si>
  <si>
    <t xml:space="preserve">https://www.comunidad.madrid/hospital/elescorial	</t>
  </si>
  <si>
    <t>Alcance de la revisión*</t>
  </si>
  <si>
    <t>Se revisan las páginas del dominio</t>
  </si>
  <si>
    <t>Funcionalidad esencial del sitio web*</t>
  </si>
  <si>
    <t>Portal del Hospital Universitario El Escorial</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</si>
  <si>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</si>
  <si>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</si>
  <si>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</si>
  <si>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</si>
  <si>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</si>
  <si>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</si>
  <si>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</si>
  <si>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</si>
  <si>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</si>
  <si>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</si>
  <si>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</si>
  <si>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</si>
  <si>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</si>
  <si>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</si>
  <si>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</si>
  <si>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</si>
  <si>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</si>
  <si>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Sí</t>
  </si>
  <si>
    <t>Orden Público y Seguridad</t>
  </si>
  <si>
    <t>Vivienda y Servicios Comunitarios</t>
  </si>
  <si>
    <t>Transporte</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</si>
  <si>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</si>
  <si>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</si>
  <si>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</si>
  <si>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</si>
  <si>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</si>
  <si>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</si>
  <si>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</si>
  <si>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</si>
  <si>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</si>
  <si>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</si>
  <si>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</si>
  <si>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</si>
  <si>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</si>
  <si>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</si>
  <si>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</si>
  <si>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</si>
  <si>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</si>
  <si>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</si>
  <si>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</si>
  <si>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</si>
  <si>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</si>
  <si>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</si>
  <si>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</si>
  <si>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</si>
  <si>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</si>
  <si>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</si>
  <si>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</si>
  <si>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</si>
  <si>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</si>
  <si>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</si>
  <si>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</si>
  <si>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</si>
  <si>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</si>
  <si>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</si>
  <si>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</si>
  <si>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</si>
  <si>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https://www.comunidad.madrid/hospital/elescorial/</t>
  </si>
  <si>
    <t>Home</t>
  </si>
  <si>
    <t>Ej. Imágenes, tablas, listas, multimedia, formularios, plantilla X, plantilla Y</t>
  </si>
  <si>
    <t>CIUDADANOS</t>
  </si>
  <si>
    <t>Pagina tipo</t>
  </si>
  <si>
    <t>https://www.comunidad.madrid/hospital/elescorial/ciudadanos</t>
  </si>
  <si>
    <t>Home - Ciudadanos</t>
  </si>
  <si>
    <t>PROFESIONALES</t>
  </si>
  <si>
    <t>https://www.comunidad.madrid/hospital/elescorial/profesionales</t>
  </si>
  <si>
    <t>Home - Profesionales</t>
  </si>
  <si>
    <t>COMUNICACIÓN</t>
  </si>
  <si>
    <t>https://www.comunidad.madrid/hospital/elescorial/comunicación</t>
  </si>
  <si>
    <t>Home - Comunicación</t>
  </si>
  <si>
    <t>NOSOTROS</t>
  </si>
  <si>
    <t>https://www.comunidad.madrid/hospital/elescorial/nosotros</t>
  </si>
  <si>
    <t>Home - Nosotros</t>
  </si>
  <si>
    <t>BUSCADOR</t>
  </si>
  <si>
    <t>Búsqueda</t>
  </si>
  <si>
    <t>https://www.comunidad.madrid/hospital/elescorial/buscar?search_api_fulltext=&amp;nombre=</t>
  </si>
  <si>
    <t>Home - lupa - Botón Buscar</t>
  </si>
  <si>
    <t>ACCESIBILIDAD</t>
  </si>
  <si>
    <t>Declaración accesibilidad</t>
  </si>
  <si>
    <t>https://www.comunidad.madrid/hospital/elescorial/declaracion-accesibilidad</t>
  </si>
  <si>
    <t>Home - Footer - Accesibilidad</t>
  </si>
  <si>
    <t>AVISO LEGAL</t>
  </si>
  <si>
    <t>Legal</t>
  </si>
  <si>
    <t>https://www.comunidad.madrid/hospital/elescorial/ciudadanos/aviso-legal-privacidad</t>
  </si>
  <si>
    <t>Home - Footer - Aviso Legal</t>
  </si>
  <si>
    <t>MAPA SITIO</t>
  </si>
  <si>
    <t>Mapa web</t>
  </si>
  <si>
    <t>https://www.comunidad.madrid/hospital/elescorial/sitemap</t>
  </si>
  <si>
    <t>Home - Footer - Mapa Web</t>
  </si>
  <si>
    <t>VIDEOTECA</t>
  </si>
  <si>
    <t>Aleatoria</t>
  </si>
  <si>
    <t>https://www.comunidad.madrid/hospital/elescorial/comunicacion/videoteca</t>
  </si>
  <si>
    <t>Home - Comunicación - Videoteca</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</si>
  <si>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</si>
  <si>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</si>
  <si>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</si>
  <si>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</si>
  <si>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</si>
  <si>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</si>
  <si>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</si>
  <si>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</si>
  <si>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</si>
  <si>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</si>
  <si>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</si>
  <si>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</si>
  <si>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</si>
  <si>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</si>
  <si>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</si>
  <si>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</si>
  <si>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</si>
  <si>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</si>
  <si>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</si>
  <si>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</si>
  <si>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</si>
  <si>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</si>
  <si>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</si>
  <si>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</si>
  <si>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</si>
  <si>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</si>
  <si>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</si>
  <si>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</si>
  <si>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</si>
  <si>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</si>
  <si>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</si>
  <si>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</si>
  <si>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</si>
  <si>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</si>
  <si>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</si>
  <si>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</si>
  <si>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</si>
  <si>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</si>
  <si>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</si>
  <si>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</si>
  <si>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</si>
  <si>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</si>
  <si>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</si>
  <si>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</si>
  <si>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</si>
  <si>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</si>
  <si>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</si>
  <si>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</si>
  <si>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</si>
  <si>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</si>
  <si>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</si>
  <si>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</si>
  <si>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</si>
  <si>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</si>
  <si>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</si>
  <si>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</si>
  <si>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</si>
  <si>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</si>
  <si>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</si>
  <si>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</si>
  <si>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</si>
  <si>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</si>
  <si>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</si>
  <si>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</si>
  <si>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</si>
  <si>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</si>
  <si>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</si>
  <si>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</si>
  <si>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</si>
  <si>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</si>
  <si>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</si>
  <si>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</si>
  <si>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</si>
  <si>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</si>
  <si>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</si>
  <si>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</si>
  <si>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</si>
  <si>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</si>
  <si>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</si>
  <si>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</si>
  <si>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</si>
  <si>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</si>
  <si>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</si>
  <si>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</si>
  <si>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</si>
  <si>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</si>
  <si>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</si>
  <si>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</si>
  <si>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</si>
  <si>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</si>
  <si>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</si>
  <si>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</si>
  <si>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</si>
  <si>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</si>
  <si>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</si>
  <si>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</si>
  <si>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</si>
  <si>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</si>
  <si>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</si>
  <si>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</si>
  <si>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</si>
  <si>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</si>
  <si>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</si>
  <si>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</si>
  <si>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</si>
  <si>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</si>
  <si>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</si>
  <si>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</si>
  <si>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</si>
  <si>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</si>
  <si>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</si>
  <si>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</si>
  <si>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</si>
  <si>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</si>
  <si>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</si>
  <si>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</si>
  <si>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</si>
  <si>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</si>
  <si>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</si>
  <si>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</si>
  <si>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</si>
  <si>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</si>
  <si>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</si>
  <si>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</si>
  <si>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</si>
  <si>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</si>
  <si>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</si>
  <si>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</si>
  <si>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</si>
  <si>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</si>
  <si>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</si>
  <si>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</si>
  <si>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</si>
  <si>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</si>
  <si>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</si>
  <si>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</si>
  <si>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</si>
  <si>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</si>
  <si>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</si>
  <si>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</si>
  <si>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</si>
  <si>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</si>
  <si>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</si>
  <si>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</si>
  <si>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</si>
  <si>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</si>
  <si>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</si>
  <si>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</si>
  <si>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</si>
  <si>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</si>
  <si>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</si>
  <si>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</si>
  <si>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</si>
  <si>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</si>
  <si>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</si>
  <si>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</si>
  <si>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</si>
  <si>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</si>
  <si>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</si>
  <si>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</si>
  <si>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</si>
  <si>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</si>
  <si>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</si>
  <si>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</si>
  <si>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</si>
  <si>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</si>
  <si>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</si>
  <si>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</si>
  <si>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</si>
  <si>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</si>
  <si>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</si>
  <si>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</si>
  <si>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</si>
  <si>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</si>
  <si>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</si>
  <si>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</si>
  <si>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</si>
  <si>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</si>
  <si>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</si>
  <si>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</si>
  <si>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</si>
  <si>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</si>
  <si>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</si>
  <si>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</si>
  <si>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</si>
  <si>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</si>
  <si>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</si>
  <si>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</si>
  <si>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</si>
  <si>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</si>
  <si>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</si>
  <si>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</si>
  <si>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</si>
  <si>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</si>
  <si>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</si>
  <si>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</si>
  <si>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</si>
  <si>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</si>
  <si>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</si>
  <si>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</si>
  <si>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</si>
  <si>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</si>
  <si>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</si>
  <si>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</si>
  <si>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</si>
  <si>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</si>
  <si>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</si>
  <si>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</si>
  <si>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</si>
  <si>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</si>
  <si>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</si>
  <si>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</si>
  <si>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</si>
  <si>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</si>
  <si>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</si>
  <si>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</si>
  <si>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</si>
  <si>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</si>
  <si>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</si>
  <si>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</si>
  <si>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</si>
  <si>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</si>
  <si>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</si>
  <si>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</si>
  <si>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</si>
  <si>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</si>
  <si>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</si>
  <si>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</si>
  <si>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</si>
  <si>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</si>
  <si>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</si>
  <si>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</si>
  <si>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</si>
  <si>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</si>
  <si>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</si>
  <si>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</si>
  <si>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</si>
  <si>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</si>
  <si>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</si>
  <si>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</si>
  <si>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</si>
  <si>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</si>
  <si>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</si>
  <si>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</si>
  <si>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</si>
  <si>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</si>
  <si>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</si>
  <si>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</si>
  <si>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</si>
  <si>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</si>
  <si>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</si>
  <si>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</si>
  <si>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</si>
  <si>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</si>
  <si>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</si>
  <si>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</si>
  <si>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</si>
  <si>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</si>
  <si>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</si>
  <si>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</si>
  <si>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</si>
  <si>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</si>
  <si>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</si>
  <si>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</si>
  <si>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</si>
  <si>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</si>
  <si>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</si>
  <si>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</si>
  <si>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</si>
  <si>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</si>
  <si>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</si>
  <si>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</si>
  <si>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</si>
  <si>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</si>
  <si>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</si>
  <si>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</si>
  <si>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</si>
  <si>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</si>
  <si>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</si>
  <si>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</si>
  <si>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</si>
  <si>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</si>
  <si>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</si>
  <si>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</si>
  <si>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</si>
  <si>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</si>
  <si>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</si>
  <si>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</si>
  <si>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</si>
  <si>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</si>
  <si>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</si>
  <si>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</si>
  <si>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</si>
  <si>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</si>
  <si>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</si>
  <si>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</si>
  <si>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</si>
  <si>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</si>
  <si>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</si>
  <si>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</si>
  <si>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</si>
  <si>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</si>
  <si>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</si>
  <si>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</si>
  <si>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</si>
  <si>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</si>
  <si>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</si>
  <si>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</si>
  <si>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</si>
  <si>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</si>
  <si>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</si>
  <si>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</si>
  <si>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</si>
  <si>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</si>
  <si>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</si>
  <si>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</si>
  <si>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</si>
  <si>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</si>
  <si>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</si>
  <si>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</si>
  <si>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</si>
  <si>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</si>
  <si>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</si>
  <si>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</si>
  <si>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</si>
  <si>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</si>
  <si>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</si>
  <si>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</si>
  <si>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</si>
  <si>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</si>
  <si>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</si>
  <si>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</si>
  <si>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</si>
  <si>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</si>
  <si>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</si>
  <si>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</si>
  <si>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</si>
  <si>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</si>
  <si>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</si>
  <si>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</si>
  <si>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</si>
  <si>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</si>
  <si>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</si>
  <si>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</si>
  <si>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</si>
  <si>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</si>
  <si>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</si>
  <si>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</si>
  <si>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</si>
  <si>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</si>
  <si>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</si>
  <si>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</si>
  <si>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</si>
  <si>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</si>
  <si>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Contacto</t>
  </si>
  <si>
    <t>Ayuda</t>
  </si>
  <si>
    <t>Servicio / Proceso</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</si>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</sst>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3256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54296875" customWidth="1"/>
    <col min="14" max="14" width="18.4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9"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98" zoomScale="136" zoomScaleNormal="136" workbookViewId="0">
      <selection activeCell="D215" sqref="D215:D218"/>
    </sheetView>
  </sheetViews>
  <sheetFormatPr baseColWidth="10" defaultColWidth="11.54296875" defaultRowHeight="12.5"/>
  <cols>
    <col min="1" max="1" width="7.81640625" style="14" customWidth="1"/>
    <col min="2" max="2" width="16.1796875" style="14" customWidth="1"/>
    <col min="3" max="3" width="71"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1" t="s">
        <v>284</v>
      </c>
      <c r="C8" s="231"/>
      <c r="D8" s="231"/>
      <c r="E8" s="231"/>
      <c r="F8" s="231"/>
      <c r="G8" s="231"/>
      <c r="H8" s="231"/>
      <c r="I8" s="231"/>
      <c r="J8" s="231"/>
      <c r="K8" s="231"/>
      <c r="L8" s="231"/>
      <c r="M8" s="231"/>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COUNTIF($B$18:$B$243,B12)</f>
        <v>6</v>
      </c>
      <c r="D12" s="26"/>
      <c r="E12" s="14"/>
      <c r="F12" s="199" t="s">
        <v>137</v>
      </c>
      <c r="G12" s="72">
        <f ca="1">J20+J58+J96+J134+J172+J210</f>
        <v>0</v>
      </c>
      <c r="H12" s="42">
        <f ca="1">IF(($G$15+$K$15)=0,0,G12/($G$15+$K$15))</f>
        <v>0</v>
      </c>
      <c r="I12" s="26"/>
      <c r="J12" s="183" t="s">
        <v>138</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I20+I58+I96+I134+I172+I210</f>
        <v>0</v>
      </c>
      <c r="H13" s="42">
        <f ca="1">IF(($G$15+$K$15)=0,0,G13/($G$15+$K$15))</f>
        <v>0</v>
      </c>
      <c r="I13" s="26"/>
      <c r="J13" s="183" t="s">
        <v>140</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141</v>
      </c>
      <c r="C14" s="201">
        <f>C12+C13</f>
        <v>6</v>
      </c>
      <c r="D14" s="26"/>
      <c r="E14" s="14"/>
      <c r="F14" s="199" t="s">
        <v>142</v>
      </c>
      <c r="G14" s="72">
        <f ca="1">H20+H58+H96+H134+H172+H210</f>
        <v>60</v>
      </c>
      <c r="H14" s="42">
        <f ca="1">IF(($G$15+$K$15)=0,0,G14/($G$15+$K$15))</f>
        <v>1</v>
      </c>
      <c r="I14" s="26"/>
      <c r="J14" s="183" t="s">
        <v>143</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60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144</v>
      </c>
      <c r="B18" s="23" t="s">
        <v>136</v>
      </c>
      <c r="C18" s="24" t="s">
        <v>285</v>
      </c>
      <c r="D18" s="25" t="s">
        <v>146</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https://www.comunidad.madrid/hospital/elescorial/</v>
      </c>
      <c r="D19" s="99" t="s">
        <v>147</v>
      </c>
      <c r="E19" s="79" t="str">
        <f t="shared" ref="E19:E53" si="0">IF(D19&lt;&gt;"",IF(AND(B19&lt;&gt;"",C19&lt;&gt;""),"","ERR"),"")</f>
        <v/>
      </c>
      <c r="F19" s="86" t="s">
        <v>148</v>
      </c>
      <c r="G19" s="87" t="s">
        <v>149</v>
      </c>
      <c r="H19" s="88" t="s">
        <v>147</v>
      </c>
      <c r="I19" s="89" t="s">
        <v>139</v>
      </c>
      <c r="J19" s="90" t="s">
        <v>137</v>
      </c>
      <c r="K19" s="179" t="s">
        <v>143</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https://www.comunidad.madrid/hospital/elescorial/ciudadanos</v>
      </c>
      <c r="D20" s="99" t="s">
        <v>147</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https://www.comunidad.madrid/hospital/elescorial/profesionales</v>
      </c>
      <c r="D21" s="99" t="s">
        <v>147</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https://www.comunidad.madrid/hospital/elescorial/comunicación</v>
      </c>
      <c r="D22" s="99" t="s">
        <v>147</v>
      </c>
      <c r="E22" s="79" t="str">
        <f t="shared" si="0"/>
        <v/>
      </c>
      <c r="G22" s="18"/>
      <c r="H22" s="18"/>
      <c r="I22" s="18"/>
      <c r="J22" s="18"/>
      <c r="K22" s="170" t="s">
        <v>148</v>
      </c>
      <c r="L22" s="92" t="s">
        <v>150</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https://www.comunidad.madrid/hospital/elescorial/nosotros</v>
      </c>
      <c r="D23" s="99" t="s">
        <v>147</v>
      </c>
      <c r="E23" s="79" t="str">
        <f t="shared" si="0"/>
        <v/>
      </c>
      <c r="G23" s="18"/>
      <c r="H23" s="18"/>
      <c r="I23" s="18"/>
      <c r="J23" s="18"/>
      <c r="K23" s="88" t="s">
        <v>147</v>
      </c>
      <c r="L23" s="92" t="s">
        <v>151</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https://www.comunidad.madrid/hospital/elescorial/buscar?search_api_fulltext=&amp;nombre=</v>
      </c>
      <c r="D24" s="99" t="s">
        <v>147</v>
      </c>
      <c r="E24" s="79" t="str">
        <f t="shared" si="0"/>
        <v/>
      </c>
      <c r="G24" s="18"/>
      <c r="H24" s="18"/>
      <c r="I24" s="18"/>
      <c r="J24" s="18"/>
      <c r="K24" s="87" t="s">
        <v>149</v>
      </c>
      <c r="L24" s="92" t="s">
        <v>152</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https://www.comunidad.madrid/hospital/elescorial/declaracion-accesibilidad</v>
      </c>
      <c r="D25" s="99" t="s">
        <v>147</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https://www.comunidad.madrid/hospital/elescorial/ciudadanos/aviso-legal-privacidad</v>
      </c>
      <c r="D26" s="99" t="s">
        <v>147</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https://www.comunidad.madrid/hospital/elescorial/sitemap</v>
      </c>
      <c r="D27" s="99" t="s">
        <v>147</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https://www.comunidad.madrid/hospital/elescorial/comunicacion/videoteca</v>
      </c>
      <c r="D28" s="99" t="s">
        <v>147</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144</v>
      </c>
      <c r="B56" s="23" t="s">
        <v>136</v>
      </c>
      <c r="C56" s="24" t="s">
        <v>286</v>
      </c>
      <c r="D56" s="25" t="s">
        <v>146</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https://www.comunidad.madrid/hospital/elescorial/</v>
      </c>
      <c r="D57" s="99" t="s">
        <v>147</v>
      </c>
      <c r="E57" s="79" t="str">
        <f t="shared" ref="E57:E91" si="2">IF(D57&lt;&gt;"",IF(AND(B57&lt;&gt;"",C57&lt;&gt;""),"","ERR"),"")</f>
        <v/>
      </c>
      <c r="F57" s="86" t="s">
        <v>148</v>
      </c>
      <c r="G57" s="87" t="s">
        <v>149</v>
      </c>
      <c r="H57" s="88" t="s">
        <v>147</v>
      </c>
      <c r="I57" s="89" t="s">
        <v>139</v>
      </c>
      <c r="J57" s="90" t="s">
        <v>137</v>
      </c>
      <c r="K57" s="179" t="s">
        <v>143</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https://www.comunidad.madrid/hospital/elescorial/ciudadanos</v>
      </c>
      <c r="D58" s="99" t="s">
        <v>147</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https://www.comunidad.madrid/hospital/elescorial/profesionales</v>
      </c>
      <c r="D59" s="99" t="s">
        <v>147</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https://www.comunidad.madrid/hospital/elescorial/comunicación</v>
      </c>
      <c r="D60" s="99" t="s">
        <v>147</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https://www.comunidad.madrid/hospital/elescorial/nosotros</v>
      </c>
      <c r="D61" s="99" t="s">
        <v>147</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https://www.comunidad.madrid/hospital/elescorial/buscar?search_api_fulltext=&amp;nombre=</v>
      </c>
      <c r="D62" s="99" t="s">
        <v>147</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https://www.comunidad.madrid/hospital/elescorial/declaracion-accesibilidad</v>
      </c>
      <c r="D63" s="99" t="s">
        <v>147</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https://www.comunidad.madrid/hospital/elescorial/ciudadanos/aviso-legal-privacidad</v>
      </c>
      <c r="D64" s="99" t="s">
        <v>147</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https://www.comunidad.madrid/hospital/elescorial/sitemap</v>
      </c>
      <c r="D65" s="99" t="s">
        <v>147</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https://www.comunidad.madrid/hospital/elescorial/comunicacion/videoteca</v>
      </c>
      <c r="D66" s="99" t="s">
        <v>147</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144</v>
      </c>
      <c r="B94" s="23" t="s">
        <v>136</v>
      </c>
      <c r="C94" s="24" t="s">
        <v>287</v>
      </c>
      <c r="D94" s="25" t="s">
        <v>146</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https://www.comunidad.madrid/hospital/elescorial/</v>
      </c>
      <c r="D95" s="99" t="s">
        <v>147</v>
      </c>
      <c r="E95" s="79" t="str">
        <f t="shared" ref="E95:E129" si="4">IF(D95&lt;&gt;"",IF(AND(B95&lt;&gt;"",C95&lt;&gt;""),"","ERR"),"")</f>
        <v/>
      </c>
      <c r="F95" s="86" t="s">
        <v>148</v>
      </c>
      <c r="G95" s="87" t="s">
        <v>149</v>
      </c>
      <c r="H95" s="88" t="s">
        <v>147</v>
      </c>
      <c r="I95" s="89" t="s">
        <v>139</v>
      </c>
      <c r="J95" s="90" t="s">
        <v>137</v>
      </c>
      <c r="K95" s="179" t="s">
        <v>143</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https://www.comunidad.madrid/hospital/elescorial/ciudadanos</v>
      </c>
      <c r="D96" s="99" t="s">
        <v>147</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https://www.comunidad.madrid/hospital/elescorial/profesionales</v>
      </c>
      <c r="D97" s="99" t="s">
        <v>147</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https://www.comunidad.madrid/hospital/elescorial/comunicación</v>
      </c>
      <c r="D98" s="99" t="s">
        <v>147</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https://www.comunidad.madrid/hospital/elescorial/nosotros</v>
      </c>
      <c r="D99" s="99" t="s">
        <v>147</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https://www.comunidad.madrid/hospital/elescorial/buscar?search_api_fulltext=&amp;nombre=</v>
      </c>
      <c r="D100" s="99" t="s">
        <v>147</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https://www.comunidad.madrid/hospital/elescorial/declaracion-accesibilidad</v>
      </c>
      <c r="D101" s="99" t="s">
        <v>147</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https://www.comunidad.madrid/hospital/elescorial/ciudadanos/aviso-legal-privacidad</v>
      </c>
      <c r="D102" s="99" t="s">
        <v>147</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https://www.comunidad.madrid/hospital/elescorial/sitemap</v>
      </c>
      <c r="D103" s="99" t="s">
        <v>147</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https://www.comunidad.madrid/hospital/elescorial/comunicacion/videoteca</v>
      </c>
      <c r="D104" s="99" t="s">
        <v>147</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144</v>
      </c>
      <c r="B132" s="23" t="s">
        <v>136</v>
      </c>
      <c r="C132" s="24" t="s">
        <v>288</v>
      </c>
      <c r="D132" s="25" t="s">
        <v>146</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https://www.comunidad.madrid/hospital/elescorial/</v>
      </c>
      <c r="D133" s="99" t="s">
        <v>147</v>
      </c>
      <c r="E133" s="79" t="str">
        <f t="shared" ref="E133:E167" si="6">IF(D133&lt;&gt;"",IF(AND(B133&lt;&gt;"",C133&lt;&gt;""),"","ERR"),"")</f>
        <v/>
      </c>
      <c r="F133" s="86" t="s">
        <v>148</v>
      </c>
      <c r="G133" s="87" t="s">
        <v>149</v>
      </c>
      <c r="H133" s="88" t="s">
        <v>147</v>
      </c>
      <c r="I133" s="89" t="s">
        <v>139</v>
      </c>
      <c r="J133" s="90" t="s">
        <v>137</v>
      </c>
      <c r="K133" s="179" t="s">
        <v>143</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https://www.comunidad.madrid/hospital/elescorial/ciudadanos</v>
      </c>
      <c r="D134" s="99" t="s">
        <v>147</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https://www.comunidad.madrid/hospital/elescorial/profesionales</v>
      </c>
      <c r="D135" s="99" t="s">
        <v>147</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https://www.comunidad.madrid/hospital/elescorial/comunicación</v>
      </c>
      <c r="D136" s="99" t="s">
        <v>147</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https://www.comunidad.madrid/hospital/elescorial/nosotros</v>
      </c>
      <c r="D137" s="99" t="s">
        <v>147</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https://www.comunidad.madrid/hospital/elescorial/buscar?search_api_fulltext=&amp;nombre=</v>
      </c>
      <c r="D138" s="99" t="s">
        <v>147</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https://www.comunidad.madrid/hospital/elescorial/declaracion-accesibilidad</v>
      </c>
      <c r="D139" s="99" t="s">
        <v>147</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https://www.comunidad.madrid/hospital/elescorial/ciudadanos/aviso-legal-privacidad</v>
      </c>
      <c r="D140" s="99" t="s">
        <v>147</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https://www.comunidad.madrid/hospital/elescorial/sitemap</v>
      </c>
      <c r="D141" s="99" t="s">
        <v>147</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https://www.comunidad.madrid/hospital/elescorial/comunicacion/videoteca</v>
      </c>
      <c r="D142" s="99" t="s">
        <v>147</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144</v>
      </c>
      <c r="B170" s="23" t="s">
        <v>136</v>
      </c>
      <c r="C170" s="24" t="s">
        <v>289</v>
      </c>
      <c r="D170" s="25" t="s">
        <v>146</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https://www.comunidad.madrid/hospital/elescorial/</v>
      </c>
      <c r="D171" s="99" t="s">
        <v>147</v>
      </c>
      <c r="E171" s="79" t="str">
        <f t="shared" ref="E171:E205" si="8">IF(D171&lt;&gt;"",IF(AND(B171&lt;&gt;"",C171&lt;&gt;""),"","ERR"),"")</f>
        <v/>
      </c>
      <c r="F171" s="86" t="s">
        <v>148</v>
      </c>
      <c r="G171" s="87" t="s">
        <v>149</v>
      </c>
      <c r="H171" s="88" t="s">
        <v>147</v>
      </c>
      <c r="I171" s="89" t="s">
        <v>139</v>
      </c>
      <c r="J171" s="90" t="s">
        <v>137</v>
      </c>
      <c r="K171" s="179" t="s">
        <v>143</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https://www.comunidad.madrid/hospital/elescorial/ciudadanos</v>
      </c>
      <c r="D172" s="99" t="s">
        <v>147</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https://www.comunidad.madrid/hospital/elescorial/profesionales</v>
      </c>
      <c r="D173" s="99" t="s">
        <v>147</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https://www.comunidad.madrid/hospital/elescorial/comunicación</v>
      </c>
      <c r="D174" s="99" t="s">
        <v>147</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https://www.comunidad.madrid/hospital/elescorial/nosotros</v>
      </c>
      <c r="D175" s="99" t="s">
        <v>147</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https://www.comunidad.madrid/hospital/elescorial/buscar?search_api_fulltext=&amp;nombre=</v>
      </c>
      <c r="D176" s="99" t="s">
        <v>147</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https://www.comunidad.madrid/hospital/elescorial/declaracion-accesibilidad</v>
      </c>
      <c r="D177" s="99" t="s">
        <v>147</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https://www.comunidad.madrid/hospital/elescorial/ciudadanos/aviso-legal-privacidad</v>
      </c>
      <c r="D178" s="99" t="s">
        <v>147</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https://www.comunidad.madrid/hospital/elescorial/sitemap</v>
      </c>
      <c r="D179" s="99" t="s">
        <v>147</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https://www.comunidad.madrid/hospital/elescorial/comunicacion/videoteca</v>
      </c>
      <c r="D180" s="99" t="s">
        <v>147</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144</v>
      </c>
      <c r="B208" s="23" t="s">
        <v>136</v>
      </c>
      <c r="C208" s="24" t="s">
        <v>290</v>
      </c>
      <c r="D208" s="25" t="s">
        <v>146</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https://www.comunidad.madrid/hospital/elescorial/</v>
      </c>
      <c r="D209" s="99" t="s">
        <v>147</v>
      </c>
      <c r="E209" s="79" t="str">
        <f t="shared" ref="E209:E243" si="10">IF(D209&lt;&gt;"",IF(AND(B209&lt;&gt;"",C209&lt;&gt;""),"","ERR"),"")</f>
        <v/>
      </c>
      <c r="F209" s="86" t="s">
        <v>148</v>
      </c>
      <c r="G209" s="87" t="s">
        <v>149</v>
      </c>
      <c r="H209" s="88" t="s">
        <v>147</v>
      </c>
      <c r="I209" s="89" t="s">
        <v>139</v>
      </c>
      <c r="J209" s="90" t="s">
        <v>137</v>
      </c>
      <c r="K209" s="179" t="s">
        <v>143</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https://www.comunidad.madrid/hospital/elescorial/ciudadanos</v>
      </c>
      <c r="D210" s="99" t="s">
        <v>147</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https://www.comunidad.madrid/hospital/elescorial/profesionales</v>
      </c>
      <c r="D211" s="99" t="s">
        <v>147</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https://www.comunidad.madrid/hospital/elescorial/comunicación</v>
      </c>
      <c r="D212" s="99" t="s">
        <v>147</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https://www.comunidad.madrid/hospital/elescorial/nosotros</v>
      </c>
      <c r="D213" s="99" t="s">
        <v>147</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https://www.comunidad.madrid/hospital/elescorial/buscar?search_api_fulltext=&amp;nombre=</v>
      </c>
      <c r="D214" s="99" t="s">
        <v>147</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https://www.comunidad.madrid/hospital/elescorial/declaracion-accesibilidad</v>
      </c>
      <c r="D215" s="99" t="s">
        <v>147</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https://www.comunidad.madrid/hospital/elescorial/ciudadanos/aviso-legal-privacidad</v>
      </c>
      <c r="D216" s="99" t="s">
        <v>147</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https://www.comunidad.madrid/hospital/elescorial/sitemap</v>
      </c>
      <c r="D217" s="99" t="s">
        <v>147</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https://www.comunidad.madrid/hospital/elescorial/comunicacion/videoteca</v>
      </c>
      <c r="D218" s="99" t="s">
        <v>147</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87" zoomScale="107" zoomScaleNormal="107" workbookViewId="0">
      <selection activeCell="D95" sqref="D95:D104"/>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291</v>
      </c>
      <c r="C8" s="18"/>
      <c r="D8" s="79"/>
      <c r="E8" s="79"/>
      <c r="F8" s="18"/>
      <c r="G8" s="18"/>
      <c r="H8" s="18"/>
      <c r="I8" s="18"/>
      <c r="J8" s="18"/>
      <c r="K8" s="18"/>
      <c r="L8" s="18"/>
      <c r="M8" s="18"/>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COUNTIF($B$18:$B$4000,B12)</f>
        <v>5</v>
      </c>
      <c r="D12" s="26"/>
      <c r="E12" s="14"/>
      <c r="F12" s="199" t="s">
        <v>137</v>
      </c>
      <c r="G12" s="72">
        <f ca="1">J20+J58+J96+J134+J172</f>
        <v>20</v>
      </c>
      <c r="H12" s="42">
        <f ca="1">IF(($G$15+$K$15)=0,0,G12/($G$15+$K$15))</f>
        <v>0.4</v>
      </c>
      <c r="I12" s="26"/>
      <c r="J12" s="183" t="s">
        <v>138</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f>
        <v>20</v>
      </c>
      <c r="H13" s="42">
        <f ca="1">IF(($G$15+$K$15)=0,0,G13/($G$15+$K$15))</f>
        <v>0.4</v>
      </c>
      <c r="I13" s="26"/>
      <c r="J13" s="183" t="s">
        <v>140</v>
      </c>
      <c r="K13" s="72">
        <f ca="1">F20+F58+F96+F134+F172</f>
        <v>0</v>
      </c>
      <c r="L13" s="42">
        <f ca="1">IF(($G$15+$K$15)=0,0,K13/($G$15+$K$15))</f>
        <v>0</v>
      </c>
      <c r="M13" s="18"/>
      <c r="N13" s="18"/>
      <c r="O13" s="18"/>
      <c r="P13" s="18"/>
      <c r="Q13" s="18"/>
      <c r="R13" s="18"/>
      <c r="U13" s="18"/>
      <c r="V13" s="18"/>
      <c r="W13" s="18"/>
      <c r="X13" s="18"/>
      <c r="Y13" s="18"/>
    </row>
    <row r="14" spans="1:64" ht="12" customHeight="1" thickBot="1">
      <c r="B14" s="200" t="s">
        <v>141</v>
      </c>
      <c r="C14" s="201">
        <f>C12+C13</f>
        <v>5</v>
      </c>
      <c r="D14" s="26"/>
      <c r="E14" s="14"/>
      <c r="F14" s="199" t="s">
        <v>142</v>
      </c>
      <c r="G14" s="72">
        <f ca="1">H20+H58+H96+H134+H172</f>
        <v>10</v>
      </c>
      <c r="H14" s="42">
        <f ca="1">IF(($G$15+$K$15)=0,0,G14/($G$15+$K$15))</f>
        <v>0.2</v>
      </c>
      <c r="I14" s="26"/>
      <c r="J14" s="183" t="s">
        <v>143</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50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144</v>
      </c>
      <c r="B18" s="23" t="s">
        <v>136</v>
      </c>
      <c r="C18" s="24" t="s">
        <v>292</v>
      </c>
      <c r="D18" s="25" t="s">
        <v>146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https://www.comunidad.madrid/hospital/elescorial/</v>
      </c>
      <c r="D19" s="99" t="s">
        <v>137</v>
      </c>
      <c r="E19" s="79" t="str">
        <f t="shared" ref="E19:E53" si="0">IF(D19&lt;&gt;"",IF(AND(B19&lt;&gt;"",C19&lt;&gt;""),"","ERR"),"")</f>
        <v/>
      </c>
      <c r="F19" s="86" t="s">
        <v>148</v>
      </c>
      <c r="G19" s="87" t="s">
        <v>149</v>
      </c>
      <c r="H19" s="88" t="s">
        <v>147</v>
      </c>
      <c r="I19" s="89" t="s">
        <v>139</v>
      </c>
      <c r="J19" s="90" t="s">
        <v>137</v>
      </c>
      <c r="K19" s="179" t="s">
        <v>143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https://www.comunidad.madrid/hospital/elescorial/ciudadanos</v>
      </c>
      <c r="D20" s="99" t="s">
        <v>137</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https://www.comunidad.madrid/hospital/elescorial/profesionales</v>
      </c>
      <c r="D21" s="99" t="s">
        <v>137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https://www.comunidad.madrid/hospital/elescorial/comunicación</v>
      </c>
      <c r="D22" s="99" t="s">
        <v>137</v>
      </c>
      <c r="E22" s="79" t="str">
        <f t="shared" si="0"/>
        <v/>
      </c>
      <c r="F22" s="18"/>
      <c r="G22" s="18"/>
      <c r="H22" s="18"/>
      <c r="I22" s="18"/>
      <c r="K22" s="170" t="s">
        <v>148</v>
      </c>
      <c r="L22" s="92" t="s">
        <v>150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https://www.comunidad.madrid/hospital/elescorial/nosotros</v>
      </c>
      <c r="D23" s="99" t="s">
        <v>137</v>
      </c>
      <c r="E23" s="79" t="str">
        <f t="shared" si="0"/>
        <v/>
      </c>
      <c r="F23" s="78"/>
      <c r="G23" s="18"/>
      <c r="H23" s="18"/>
      <c r="I23" s="18"/>
      <c r="K23" s="88" t="s">
        <v>147</v>
      </c>
      <c r="L23" s="92" t="s">
        <v>151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https://www.comunidad.madrid/hospital/elescorial/buscar?search_api_fulltext=&amp;nombre=</v>
      </c>
      <c r="D24" s="99" t="s">
        <v>137</v>
      </c>
      <c r="E24" s="79" t="str">
        <f t="shared" si="0"/>
        <v/>
      </c>
      <c r="F24" s="18"/>
      <c r="G24" s="18"/>
      <c r="H24" s="18"/>
      <c r="I24" s="18"/>
      <c r="K24" s="87" t="s">
        <v>149</v>
      </c>
      <c r="L24" s="92" t="s">
        <v>152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https://www.comunidad.madrid/hospital/elescorial/declaracion-accesibilidad</v>
      </c>
      <c r="D25" s="99" t="s">
        <v>137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https://www.comunidad.madrid/hospital/elescorial/ciudadanos/aviso-legal-privacidad</v>
      </c>
      <c r="D26" s="99" t="s">
        <v>137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https://www.comunidad.madrid/hospital/elescorial/sitemap</v>
      </c>
      <c r="D27" s="99" t="s">
        <v>137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https://www.comunidad.madrid/hospital/elescorial/comunicacion/videoteca</v>
      </c>
      <c r="D28" s="99" t="s">
        <v>137</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144</v>
      </c>
      <c r="B56" s="23" t="s">
        <v>136</v>
      </c>
      <c r="C56" s="24" t="s">
        <v>293</v>
      </c>
      <c r="D56" s="25" t="s">
        <v>146</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https://www.comunidad.madrid/hospital/elescorial/</v>
      </c>
      <c r="D57" s="99" t="s">
        <v>139</v>
      </c>
      <c r="E57" s="79" t="str">
        <f t="shared" ref="E57:E91" si="2">IF(D57&lt;&gt;"",IF(AND(B57&lt;&gt;"",C57&lt;&gt;""),"","ERR"),"")</f>
        <v/>
      </c>
      <c r="F57" s="86" t="s">
        <v>148</v>
      </c>
      <c r="G57" s="87" t="s">
        <v>149</v>
      </c>
      <c r="H57" s="88" t="s">
        <v>147</v>
      </c>
      <c r="I57" s="89" t="s">
        <v>139</v>
      </c>
      <c r="J57" s="90" t="s">
        <v>137</v>
      </c>
      <c r="K57" s="179" t="s">
        <v>143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https://www.comunidad.madrid/hospital/elescorial/ciudadanos</v>
      </c>
      <c r="D58" s="99" t="s">
        <v>139</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https://www.comunidad.madrid/hospital/elescorial/profesionales</v>
      </c>
      <c r="D59" s="99" t="s">
        <v>139</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https://www.comunidad.madrid/hospital/elescorial/comunicación</v>
      </c>
      <c r="D60" s="99" t="s">
        <v>139</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https://www.comunidad.madrid/hospital/elescorial/nosotros</v>
      </c>
      <c r="D61" s="99" t="s">
        <v>139</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https://www.comunidad.madrid/hospital/elescorial/buscar?search_api_fulltext=&amp;nombre=</v>
      </c>
      <c r="D62" s="99" t="s">
        <v>139</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https://www.comunidad.madrid/hospital/elescorial/declaracion-accesibilidad</v>
      </c>
      <c r="D63" s="99" t="s">
        <v>139</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https://www.comunidad.madrid/hospital/elescorial/ciudadanos/aviso-legal-privacidad</v>
      </c>
      <c r="D64" s="99" t="s">
        <v>139</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https://www.comunidad.madrid/hospital/elescorial/sitemap</v>
      </c>
      <c r="D65" s="99" t="s">
        <v>139</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https://www.comunidad.madrid/hospital/elescorial/comunicacion/videoteca</v>
      </c>
      <c r="D66" s="99" t="s">
        <v>139</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144</v>
      </c>
      <c r="B94" s="23" t="s">
        <v>136</v>
      </c>
      <c r="C94" s="24" t="s">
        <v>294</v>
      </c>
      <c r="D94" s="25" t="s">
        <v>146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https://www.comunidad.madrid/hospital/elescorial/</v>
      </c>
      <c r="D95" s="99" t="s">
        <v>139</v>
      </c>
      <c r="E95" s="79" t="str">
        <f t="shared" ref="E95:E129" si="4">IF(D95&lt;&gt;"",IF(AND(B95&lt;&gt;"",C95&lt;&gt;""),"","ERR"),"")</f>
        <v/>
      </c>
      <c r="F95" s="86" t="s">
        <v>148</v>
      </c>
      <c r="G95" s="87" t="s">
        <v>149</v>
      </c>
      <c r="H95" s="88" t="s">
        <v>147</v>
      </c>
      <c r="I95" s="89" t="s">
        <v>139</v>
      </c>
      <c r="J95" s="90" t="s">
        <v>137</v>
      </c>
      <c r="K95" s="179" t="s">
        <v>143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https://www.comunidad.madrid/hospital/elescorial/ciudadanos</v>
      </c>
      <c r="D96" s="99" t="s">
        <v>139</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https://www.comunidad.madrid/hospital/elescorial/profesionales</v>
      </c>
      <c r="D97" s="99" t="s">
        <v>139</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https://www.comunidad.madrid/hospital/elescorial/comunicación</v>
      </c>
      <c r="D98" s="99" t="s">
        <v>139</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https://www.comunidad.madrid/hospital/elescorial/nosotros</v>
      </c>
      <c r="D99" s="99" t="s">
        <v>139</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https://www.comunidad.madrid/hospital/elescorial/buscar?search_api_fulltext=&amp;nombre=</v>
      </c>
      <c r="D100" s="99" t="s">
        <v>139</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https://www.comunidad.madrid/hospital/elescorial/declaracion-accesibilidad</v>
      </c>
      <c r="D101" s="99" t="s">
        <v>139</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https://www.comunidad.madrid/hospital/elescorial/ciudadanos/aviso-legal-privacidad</v>
      </c>
      <c r="D102" s="99" t="s">
        <v>139</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https://www.comunidad.madrid/hospital/elescorial/sitemap</v>
      </c>
      <c r="D103" s="99" t="s">
        <v>139</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https://www.comunidad.madrid/hospital/elescorial/comunicacion/videoteca</v>
      </c>
      <c r="D104" s="99" t="s">
        <v>139</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144</v>
      </c>
      <c r="B132" s="23" t="s">
        <v>136</v>
      </c>
      <c r="C132" s="24" t="s">
        <v>295</v>
      </c>
      <c r="D132" s="25" t="s">
        <v>146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https://www.comunidad.madrid/hospital/elescorial/</v>
      </c>
      <c r="D133" s="99" t="s">
        <v>137</v>
      </c>
      <c r="E133" s="79" t="str">
        <f t="shared" ref="E133:E167" si="6">IF(D133&lt;&gt;"",IF(AND(B133&lt;&gt;"",C133&lt;&gt;""),"","ERR"),"")</f>
        <v/>
      </c>
      <c r="F133" s="86" t="s">
        <v>148</v>
      </c>
      <c r="G133" s="87" t="s">
        <v>149</v>
      </c>
      <c r="H133" s="88" t="s">
        <v>147</v>
      </c>
      <c r="I133" s="89" t="s">
        <v>139</v>
      </c>
      <c r="J133" s="90" t="s">
        <v>137</v>
      </c>
      <c r="K133" s="179" t="s">
        <v>143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https://www.comunidad.madrid/hospital/elescorial/ciudadanos</v>
      </c>
      <c r="D134" s="99" t="s">
        <v>137</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https://www.comunidad.madrid/hospital/elescorial/profesionales</v>
      </c>
      <c r="D135" s="99" t="s">
        <v>137</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https://www.comunidad.madrid/hospital/elescorial/comunicación</v>
      </c>
      <c r="D136" s="99" t="s">
        <v>137</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https://www.comunidad.madrid/hospital/elescorial/nosotros</v>
      </c>
      <c r="D137" s="99" t="s">
        <v>137</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https://www.comunidad.madrid/hospital/elescorial/buscar?search_api_fulltext=&amp;nombre=</v>
      </c>
      <c r="D138" s="99" t="s">
        <v>137</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https://www.comunidad.madrid/hospital/elescorial/declaracion-accesibilidad</v>
      </c>
      <c r="D139" s="99" t="s">
        <v>137</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https://www.comunidad.madrid/hospital/elescorial/ciudadanos/aviso-legal-privacidad</v>
      </c>
      <c r="D140" s="99" t="s">
        <v>137</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https://www.comunidad.madrid/hospital/elescorial/sitemap</v>
      </c>
      <c r="D141" s="99" t="s">
        <v>137</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https://www.comunidad.madrid/hospital/elescorial/comunicacion/videoteca</v>
      </c>
      <c r="D142" s="99" t="s">
        <v>137</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144</v>
      </c>
      <c r="B170" s="23" t="s">
        <v>136</v>
      </c>
      <c r="C170" s="24" t="s">
        <v>296</v>
      </c>
      <c r="D170" s="25" t="s">
        <v>146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https://www.comunidad.madrid/hospital/elescorial/</v>
      </c>
      <c r="D171" s="99" t="s">
        <v>147</v>
      </c>
      <c r="E171" s="79" t="str">
        <f t="shared" ref="E171:E205" si="8">IF(D171&lt;&gt;"",IF(AND(B171&lt;&gt;"",C171&lt;&gt;""),"","ERR"),"")</f>
        <v/>
      </c>
      <c r="F171" s="86" t="s">
        <v>148</v>
      </c>
      <c r="G171" s="87" t="s">
        <v>149</v>
      </c>
      <c r="H171" s="88" t="s">
        <v>147</v>
      </c>
      <c r="I171" s="89" t="s">
        <v>139</v>
      </c>
      <c r="J171" s="90" t="s">
        <v>137</v>
      </c>
      <c r="K171" s="179" t="s">
        <v>143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https://www.comunidad.madrid/hospital/elescorial/ciudadanos</v>
      </c>
      <c r="D172" s="99" t="s">
        <v>147</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https://www.comunidad.madrid/hospital/elescorial/profesionales</v>
      </c>
      <c r="D173" s="99" t="s">
        <v>147</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https://www.comunidad.madrid/hospital/elescorial/comunicación</v>
      </c>
      <c r="D174" s="99" t="s">
        <v>147</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https://www.comunidad.madrid/hospital/elescorial/nosotros</v>
      </c>
      <c r="D175" s="99" t="s">
        <v>147</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https://www.comunidad.madrid/hospital/elescorial/buscar?search_api_fulltext=&amp;nombre=</v>
      </c>
      <c r="D176" s="99" t="s">
        <v>147</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https://www.comunidad.madrid/hospital/elescorial/declaracion-accesibilidad</v>
      </c>
      <c r="D177" s="99" t="s">
        <v>147</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https://www.comunidad.madrid/hospital/elescorial/ciudadanos/aviso-legal-privacidad</v>
      </c>
      <c r="D178" s="99" t="s">
        <v>147</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https://www.comunidad.madrid/hospital/elescorial/sitemap</v>
      </c>
      <c r="D179" s="99" t="s">
        <v>147</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https://www.comunidad.madrid/hospital/elescorial/comunicacion/videoteca</v>
      </c>
      <c r="D180" s="99" t="s">
        <v>147</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9" zoomScale="70" zoomScaleNormal="70" workbookViewId="0">
      <selection activeCell="BB13" sqref="BB13"/>
    </sheetView>
  </sheetViews>
  <sheetFormatPr baseColWidth="10" defaultColWidth="11.54296875" defaultRowHeight="12.5"/>
  <cols>
    <col min="1" max="1" width="3.1796875" style="14" customWidth="1"/>
    <col min="2" max="2" width="9.1796875" style="84" customWidth="1"/>
    <col min="3" max="3" width="18.54296875" style="27" customWidth="1"/>
    <col min="4" max="4" width="59.453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297</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399999999999999" customHeight="1" thickBot="1">
      <c r="B6" s="137"/>
      <c r="C6" s="48"/>
      <c r="D6" s="48"/>
      <c r="E6" s="48"/>
      <c r="F6" s="48"/>
      <c r="G6" s="48"/>
      <c r="H6" s="48"/>
      <c r="I6" s="48"/>
      <c r="J6" s="48"/>
      <c r="K6" s="239" t="s">
        <v>298</v>
      </c>
      <c r="L6" s="239"/>
      <c r="M6" s="239"/>
      <c r="N6" s="48"/>
      <c r="O6" s="239" t="s">
        <v>299</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4" customHeight="1">
      <c r="C7" s="240" t="s">
        <v>131</v>
      </c>
      <c r="D7" s="241"/>
      <c r="E7" s="205" t="s">
        <v>300</v>
      </c>
      <c r="F7" s="205" t="s">
        <v>301</v>
      </c>
      <c r="G7" s="205" t="s">
        <v>142</v>
      </c>
      <c r="H7" s="205" t="s">
        <v>302</v>
      </c>
      <c r="I7" s="197" t="s">
        <v>303</v>
      </c>
      <c r="J7" s="186" t="s">
        <v>304</v>
      </c>
      <c r="K7" s="206" t="s">
        <v>305</v>
      </c>
      <c r="L7" s="106" t="s">
        <v>306</v>
      </c>
      <c r="M7" s="207" t="s">
        <v>134</v>
      </c>
      <c r="O7" s="206" t="s">
        <v>305</v>
      </c>
      <c r="P7" s="106" t="s">
        <v>306</v>
      </c>
      <c r="Q7" s="207" t="s">
        <v>134</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399999999999999" customHeight="1">
      <c r="C8" s="242" t="s">
        <v>307</v>
      </c>
      <c r="D8" s="243"/>
      <c r="E8" s="38" t="str">
        <f ca="1">CONCATENATE(COUNTIF(E55:CR55,"CONFORME")," (",ROUND(COUNTIF(E55:CR55,"CONFORME")*100/COUNTA($E$19:CR$19),2)," %)")</f>
        <v>22 (23,91 %)</v>
      </c>
      <c r="F8" s="38" t="str">
        <f ca="1">CONCATENATE(COUNTIF(E55:CR55,"NO CONFORME")," (",ROUND(COUNTIF(E55:CR55,"NO CONFORME")*100/COUNTA($E$19:CR$19),2)," %)")</f>
        <v>16 (17,39 %)</v>
      </c>
      <c r="G8" s="39" t="str">
        <f ca="1">CONCATENATE(COUNTIF(E55:CR55,"N/A")," (",ROUND(COUNTIF(E55:CR55,"N/A")*100/COUNTA($E$19:CR$19),2)," %)")</f>
        <v>54 (58,7 %)</v>
      </c>
      <c r="H8" s="39">
        <f ca="1">COUNTIF(E55:CR55,"ERROR")</f>
        <v>0</v>
      </c>
      <c r="I8" s="40">
        <f ca="1">COUNTIF(E55:CR55,"EN CURSO")</f>
        <v>0</v>
      </c>
      <c r="J8" s="187">
        <f ca="1">SUM(VALUE(LEFT(E8,SEARCH(" ",E8)-1)),VALUE(LEFT(F8,SEARCH(" ",F8)-1)))</f>
        <v>38</v>
      </c>
      <c r="K8" s="41" t="s">
        <v>308</v>
      </c>
      <c r="L8" s="38">
        <f ca="1">COUNTIF( $E$20:INDIRECT("$CR$" &amp;  SUM(19,COUNTIFS(B20:B54,"&lt;&gt;"))),"Pasa")+ COUNTIF($E$61:INDIRECT("$AW$" &amp;  SUM(60,COUNTIFS(B61:B95,"&lt;&gt;"))),"Pasa")</f>
        <v>212</v>
      </c>
      <c r="M8" s="42">
        <f ca="1">IF(($L$11+$P$11)=0,0,L8/($L$11+$P$11))</f>
        <v>0.23043478260869565</v>
      </c>
      <c r="N8" s="26"/>
      <c r="O8" s="41" t="s">
        <v>138</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399999999999999" customHeight="1">
      <c r="B9" s="191"/>
      <c r="C9" s="248" t="s">
        <v>309</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139</v>
      </c>
      <c r="L9" s="38">
        <f ca="1">COUNTIF( $E$20:INDIRECT("$CR$" &amp;  SUM(19,COUNTIFS(B20:B54,"&lt;&gt;"))),"Falla")+ COUNTIF($E$61:INDIRECT("$AW$" &amp;  SUM(60,COUNTIFS(B61:B95,"&lt;&gt;"))),"Falla")</f>
        <v>138</v>
      </c>
      <c r="M9" s="42">
        <f ca="1">IF(($L$11+$P$11)=0,0,L9/($L$11+$P$11))</f>
        <v>0.15</v>
      </c>
      <c r="N9" s="26"/>
      <c r="O9" s="41" t="s">
        <v>140</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399999999999999" customHeight="1" thickBot="1">
      <c r="C10" s="253" t="s">
        <v>310</v>
      </c>
      <c r="D10" s="254"/>
      <c r="E10" s="192" t="str">
        <f ca="1">CONCATENATE(ROUND(E11/137*100,2)," %")</f>
        <v>16,06 %</v>
      </c>
      <c r="F10" s="192" t="str">
        <f ca="1">CONCATENATE(ROUND(F11/137*100,2)," %")</f>
        <v>11,68 %</v>
      </c>
      <c r="G10" s="192" t="str">
        <f ca="1">CONCATENATE(ROUND(G11/137*100,2)," %")</f>
        <v>72,26 %</v>
      </c>
      <c r="H10" s="192" t="str">
        <f ca="1">CONCATENATE(ROUND(H11/137*100,2)," %")</f>
        <v>0 %</v>
      </c>
      <c r="I10" s="194" t="str">
        <f ca="1">CONCATENATE(ROUND(I11/137*100,2)," %")</f>
        <v>0 %</v>
      </c>
      <c r="J10" s="195"/>
      <c r="K10" s="41" t="s">
        <v>142</v>
      </c>
      <c r="L10" s="38">
        <f ca="1">COUNTIF( $E$20:INDIRECT("$CR$" &amp;  SUM(19,COUNTIFS(B20:B54,"&lt;&gt;"))),"N/A")+COUNTIF($E$61:INDIRECT("$AW$" &amp;  SUM(60,COUNTIFS(B61:B95,"&lt;&gt;"))),"N/A")</f>
        <v>570</v>
      </c>
      <c r="M10" s="42">
        <f ca="1">IF(($L$11+$P$11)=0,0,L10/($L$11+$P$11))</f>
        <v>0.61956521739130432</v>
      </c>
      <c r="N10" s="26"/>
      <c r="O10" s="139" t="s">
        <v>143</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399999999999999" customHeight="1" thickBot="1">
      <c r="C11" s="247"/>
      <c r="D11" s="247"/>
      <c r="E11" s="193">
        <f ca="1">SUM(VALUE(LEFT(E8,SEARCH(" ",E8)-1)),VALUE(LEFT(E9,SEARCH(" ",E9)-1)))</f>
        <v>22</v>
      </c>
      <c r="F11" s="193">
        <f ca="1">SUM(VALUE(LEFT(F8,SEARCH(" ",F8)-1)),VALUE(LEFT(F9,SEARCH(" ",F9)-1)))</f>
        <v>16</v>
      </c>
      <c r="G11" s="193">
        <f ca="1">SUM(VALUE(LEFT(G8,SEARCH(" ",G8)-1)),VALUE(LEFT(G9,SEARCH(" ",G9)-1)))</f>
        <v>99</v>
      </c>
      <c r="H11" s="193">
        <f ca="1">SUM(H8:H9)</f>
        <v>0</v>
      </c>
      <c r="I11" s="193">
        <f ca="1">SUM(I8:I9)</f>
        <v>0</v>
      </c>
      <c r="K11" s="43" t="s">
        <v>311</v>
      </c>
      <c r="L11" s="203">
        <f ca="1">SUM(L8:L10)</f>
        <v>920</v>
      </c>
      <c r="M11" s="204">
        <f ca="1">SUM(M8:M10)</f>
        <v>1</v>
      </c>
      <c r="N11" s="26"/>
      <c r="O11" s="43" t="s">
        <v>311</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39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9" customHeight="1" thickTop="1">
      <c r="B13" s="136"/>
      <c r="C13" s="136"/>
      <c r="D13" s="138" t="s">
        <v>312</v>
      </c>
      <c r="E13" s="18"/>
      <c r="F13" s="250" t="s">
        <v>313</v>
      </c>
      <c r="G13" s="251"/>
      <c r="H13" s="251"/>
      <c r="I13" s="252"/>
      <c r="J13" s="18"/>
      <c r="K13" s="250" t="s">
        <v>314</v>
      </c>
      <c r="L13" s="252"/>
      <c r="M13" s="18"/>
      <c r="N13" s="18"/>
      <c r="O13" s="18"/>
      <c r="P13" s="18"/>
      <c r="Q13" s="18"/>
      <c r="R13" s="18"/>
      <c r="S13" s="18"/>
      <c r="T13" s="18"/>
      <c r="U13" s="18"/>
      <c r="V13" s="18"/>
      <c r="W13" s="18"/>
      <c r="X13" s="18"/>
      <c r="Y13" s="18"/>
      <c r="Z13" s="18"/>
      <c r="AA13" s="18"/>
    </row>
    <row r="14" spans="2:65" ht="23.9"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5.79</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307</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315</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144</v>
      </c>
      <c r="C19" s="72" t="s">
        <v>316</v>
      </c>
      <c r="D19" s="72" t="s">
        <v>317</v>
      </c>
      <c r="E19" s="72" t="s">
        <v>318</v>
      </c>
      <c r="F19" s="72" t="s">
        <v>319</v>
      </c>
      <c r="G19" s="72" t="s">
        <v>320</v>
      </c>
      <c r="H19" s="72" t="s">
        <v>321</v>
      </c>
      <c r="I19" s="72" t="s">
        <v>322</v>
      </c>
      <c r="J19" s="72" t="s">
        <v>323</v>
      </c>
      <c r="K19" s="72" t="s">
        <v>324</v>
      </c>
      <c r="L19" s="72" t="s">
        <v>325</v>
      </c>
      <c r="M19" s="72" t="s">
        <v>326</v>
      </c>
      <c r="N19" s="72" t="s">
        <v>327</v>
      </c>
      <c r="O19" s="72" t="s">
        <v>328</v>
      </c>
      <c r="P19" s="72" t="s">
        <v>329</v>
      </c>
      <c r="Q19" s="72" t="s">
        <v>330</v>
      </c>
      <c r="R19" s="72" t="s">
        <v>331</v>
      </c>
      <c r="S19" s="72" t="s">
        <v>332</v>
      </c>
      <c r="T19" s="72" t="s">
        <v>333</v>
      </c>
      <c r="U19" s="72" t="s">
        <v>334</v>
      </c>
      <c r="V19" s="72" t="s">
        <v>335</v>
      </c>
      <c r="W19" s="72" t="s">
        <v>336</v>
      </c>
      <c r="X19" s="72" t="s">
        <v>337</v>
      </c>
      <c r="Y19" s="72" t="s">
        <v>338</v>
      </c>
      <c r="Z19" s="72" t="s">
        <v>339</v>
      </c>
      <c r="AA19" s="72" t="s">
        <v>340</v>
      </c>
      <c r="AB19" s="72" t="s">
        <v>341</v>
      </c>
      <c r="AC19" s="72" t="s">
        <v>342</v>
      </c>
      <c r="AD19" s="72" t="s">
        <v>343</v>
      </c>
      <c r="AE19" s="72" t="s">
        <v>344</v>
      </c>
      <c r="AF19" s="72" t="s">
        <v>345</v>
      </c>
      <c r="AG19" s="72" t="s">
        <v>346</v>
      </c>
      <c r="AH19" s="72" t="s">
        <v>347</v>
      </c>
      <c r="AI19" s="72" t="s">
        <v>348</v>
      </c>
      <c r="AJ19" s="72" t="s">
        <v>349</v>
      </c>
      <c r="AK19" s="72" t="s">
        <v>350</v>
      </c>
      <c r="AL19" s="72" t="s">
        <v>351</v>
      </c>
      <c r="AM19" s="72" t="s">
        <v>352</v>
      </c>
      <c r="AN19" s="72" t="s">
        <v>353</v>
      </c>
      <c r="AO19" s="72" t="s">
        <v>354</v>
      </c>
      <c r="AP19" s="72" t="s">
        <v>355</v>
      </c>
      <c r="AQ19" s="72" t="s">
        <v>356</v>
      </c>
      <c r="AR19" s="72" t="s">
        <v>357</v>
      </c>
      <c r="AS19" s="72" t="s">
        <v>358</v>
      </c>
      <c r="AT19" s="72" t="s">
        <v>359</v>
      </c>
      <c r="AU19" s="72" t="s">
        <v>360</v>
      </c>
      <c r="AV19" s="72" t="s">
        <v>361</v>
      </c>
      <c r="AW19" s="72" t="s">
        <v>362</v>
      </c>
      <c r="AX19" s="72" t="s">
        <v>363</v>
      </c>
      <c r="AY19" s="72" t="s">
        <v>364</v>
      </c>
      <c r="AZ19" s="72" t="s">
        <v>365</v>
      </c>
      <c r="BA19" s="72" t="s">
        <v>366</v>
      </c>
      <c r="BB19" s="72" t="s">
        <v>367</v>
      </c>
      <c r="BC19" s="72" t="s">
        <v>368</v>
      </c>
      <c r="BD19" s="72" t="s">
        <v>369</v>
      </c>
      <c r="BE19" s="72" t="s">
        <v>370</v>
      </c>
      <c r="BF19" s="72" t="s">
        <v>371</v>
      </c>
      <c r="BG19" s="72" t="s">
        <v>372</v>
      </c>
      <c r="BH19" s="72" t="s">
        <v>373</v>
      </c>
      <c r="BI19" s="72" t="s">
        <v>374</v>
      </c>
      <c r="BJ19" s="72" t="s">
        <v>375</v>
      </c>
      <c r="BK19" s="72" t="s">
        <v>376</v>
      </c>
      <c r="BL19" s="72" t="s">
        <v>377</v>
      </c>
      <c r="BM19" s="72" t="s">
        <v>378</v>
      </c>
      <c r="BN19" s="72" t="s">
        <v>379</v>
      </c>
      <c r="BO19" s="72" t="s">
        <v>380</v>
      </c>
      <c r="BP19" s="72" t="s">
        <v>381</v>
      </c>
      <c r="BQ19" s="72" t="s">
        <v>382</v>
      </c>
      <c r="BR19" s="72" t="s">
        <v>383</v>
      </c>
      <c r="BS19" s="72" t="s">
        <v>384</v>
      </c>
      <c r="BT19" s="72" t="s">
        <v>385</v>
      </c>
      <c r="BU19" s="72" t="s">
        <v>386</v>
      </c>
      <c r="BV19" s="72" t="s">
        <v>387</v>
      </c>
      <c r="BW19" s="72" t="s">
        <v>388</v>
      </c>
      <c r="BX19" s="72" t="s">
        <v>389</v>
      </c>
      <c r="BY19" s="72" t="s">
        <v>390</v>
      </c>
      <c r="BZ19" s="72" t="s">
        <v>391</v>
      </c>
      <c r="CA19" s="72" t="s">
        <v>392</v>
      </c>
      <c r="CB19" s="72" t="s">
        <v>393</v>
      </c>
      <c r="CC19" s="72" t="s">
        <v>394</v>
      </c>
      <c r="CD19" s="72" t="s">
        <v>395</v>
      </c>
      <c r="CE19" s="72" t="s">
        <v>396</v>
      </c>
      <c r="CF19" s="72" t="s">
        <v>397</v>
      </c>
      <c r="CG19" s="72" t="s">
        <v>398</v>
      </c>
      <c r="CH19" s="72" t="s">
        <v>399</v>
      </c>
      <c r="CI19" s="72" t="s">
        <v>400</v>
      </c>
      <c r="CJ19" s="72" t="s">
        <v>401</v>
      </c>
      <c r="CK19" s="72" t="s">
        <v>402</v>
      </c>
      <c r="CL19" s="72" t="s">
        <v>403</v>
      </c>
      <c r="CM19" s="72" t="s">
        <v>404</v>
      </c>
      <c r="CN19" s="72" t="s">
        <v>405</v>
      </c>
      <c r="CO19" s="72" t="s">
        <v>406</v>
      </c>
      <c r="CP19" s="72" t="s">
        <v>407</v>
      </c>
      <c r="CQ19" s="72" t="s">
        <v>408</v>
      </c>
      <c r="CR19" s="72" t="s">
        <v>409</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https://www.comunidad.madrid/hospital/elescorial/</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https://www.comunidad.madrid/hospital/elescorial/ciudadanos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Falla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https://www.comunidad.madrid/hospital/elescorial/profesionales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Pasa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https://www.comunidad.madrid/hospital/elescorial/comunicación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Pasa</v>
      </c>
      <c r="AB23" s="75" t="str" cm="1">
        <f t="array" aca="1" ref="AB23" ca="1">IF($B23="","",IF(ISBLANK(INDIRECT("R7.Video!D"&amp;SUM(18,38*1,4))),"",INDIRECT("R7.Video!D"&amp;SUM(18,38*1,4))))</f>
        <v>Pasa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Pasa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Pasa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https://www.comunidad.madrid/hospital/elescorial/nosotros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Pasa</v>
      </c>
      <c r="AB24" s="75" t="str" cm="1">
        <f t="array" aca="1" ref="AB24" ca="1">IF($B24="","",IF(ISBLANK(INDIRECT("R7.Video!D"&amp;SUM(18,38*1,5))),"",INDIRECT("R7.Video!D"&amp;SUM(18,38*1,5))))</f>
        <v>Pasa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Pasa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Falla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https://www.comunidad.madrid/hospital/elescorial/buscar?search_api_fulltext=&amp;nombre=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Pasa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https://www.comunidad.madrid/hospital/elescorial/declaracion-accesibilidad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Pasa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v>
      </c>
      <c r="D27" s="74" t="str" cm="1">
        <f t="array" ref="D27">IFERROR(INDEX('03.Muestra'!$F$8:$F$42,SMALL(IF("Página Web"='03.Muestra'!$D$8:$D$42,ROW('03.Muestra'!$F$8:$F$42)-MIN(ROW('03.Muestra'!$D$8:$D$42))+1,""),ROW()-19)),"")</f>
        <v>https://www.comunidad.madrid/hospital/elescorial/ciudadanos/aviso-legal-privacidad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Pasa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SITIO</v>
      </c>
      <c r="D28" s="74" t="str" cm="1">
        <f t="array" ref="D28">IFERROR(INDEX('03.Muestra'!$F$8:$F$42,SMALL(IF("Página Web"='03.Muestra'!$D$8:$D$42,ROW('03.Muestra'!$F$8:$F$42)-MIN(ROW('03.Muestra'!$D$8:$D$42))+1,""),ROW()-19)),"")</f>
        <v>https://www.comunidad.madrid/hospital/elescorial/sitemap</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Pasa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VIDEOTECA</v>
      </c>
      <c r="D29" s="74" t="str" cm="1">
        <f t="array" ref="D29">IFERROR(INDEX('03.Muestra'!$F$8:$F$42,SMALL(IF("Página Web"='03.Muestra'!$D$8:$D$42,ROW('03.Muestra'!$F$8:$F$42)-MIN(ROW('03.Muestra'!$D$8:$D$42))+1,""),ROW()-19)),"")</f>
        <v>https://www.comunidad.madrid/hospital/elescorial/comunicacion/videoteca</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Pasa</v>
      </c>
      <c r="AB29" s="75" t="str" cm="1">
        <f t="array" aca="1" ref="AB29" ca="1">IF($B29="","",IF(ISBLANK(INDIRECT("R7.Video!D"&amp;SUM(18,38*1,10))),"",INDIRECT("R7.Video!D"&amp;SUM(18,38*1,10))))</f>
        <v>Pasa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Pasa</v>
      </c>
      <c r="AM29" s="75" t="str" cm="1">
        <f t="array" aca="1" ref="AM29" ca="1">IF($B29="","",IF(ISBLANK(INDIRECT("R9.Web!D"&amp;SUM(18,38*3,10))),"",INDIRECT("R9.Web!D"&amp;SUM(18,38*3,10))))</f>
        <v>N/A</v>
      </c>
      <c r="AN29" s="75" t="str" cm="1">
        <f t="array" aca="1" ref="AN29" ca="1">IF($B29="","",IF(ISBLANK(INDIRECT("R9.Web!D"&amp;SUM(18,38*4,10))),"",INDIRECT("R9.Web!D"&amp;SUM(18,38*4,10))))</f>
        <v>Falla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Pasa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307</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38" t="s">
        <v>309</v>
      </c>
      <c r="C58" s="238"/>
      <c r="D58" s="238"/>
    </row>
    <row r="59" spans="2:99" ht="23.25" customHeight="1">
      <c r="B59" s="232" t="s">
        <v>315</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144</v>
      </c>
      <c r="C60" s="72" t="s">
        <v>316</v>
      </c>
      <c r="D60" s="72" t="s">
        <v>410</v>
      </c>
      <c r="E60" s="72" t="s">
        <v>411</v>
      </c>
      <c r="F60" s="72" t="s">
        <v>412</v>
      </c>
      <c r="G60" s="72" t="s">
        <v>413</v>
      </c>
      <c r="H60" s="72" t="s">
        <v>414</v>
      </c>
      <c r="I60" s="72" t="s">
        <v>415</v>
      </c>
      <c r="J60" s="72" t="s">
        <v>416</v>
      </c>
      <c r="K60" s="72" t="s">
        <v>417</v>
      </c>
      <c r="L60" s="72" t="s">
        <v>418</v>
      </c>
      <c r="M60" s="72" t="s">
        <v>419</v>
      </c>
      <c r="N60" s="72" t="s">
        <v>420</v>
      </c>
      <c r="O60" s="72" t="s">
        <v>421</v>
      </c>
      <c r="P60" s="72" t="s">
        <v>422</v>
      </c>
      <c r="Q60" s="72" t="s">
        <v>423</v>
      </c>
      <c r="R60" s="72" t="s">
        <v>424</v>
      </c>
      <c r="S60" s="72" t="s">
        <v>425</v>
      </c>
      <c r="T60" s="72" t="s">
        <v>426</v>
      </c>
      <c r="U60" s="72" t="s">
        <v>427</v>
      </c>
      <c r="V60" s="72" t="s">
        <v>428</v>
      </c>
      <c r="W60" s="72" t="s">
        <v>429</v>
      </c>
      <c r="X60" s="72" t="s">
        <v>430</v>
      </c>
      <c r="Y60" s="72" t="s">
        <v>431</v>
      </c>
      <c r="Z60" s="72" t="s">
        <v>432</v>
      </c>
      <c r="AA60" s="72" t="s">
        <v>433</v>
      </c>
      <c r="AB60" s="72" t="s">
        <v>434</v>
      </c>
      <c r="AC60" s="72" t="s">
        <v>435</v>
      </c>
      <c r="AD60" s="72" t="s">
        <v>436</v>
      </c>
      <c r="AE60" s="72" t="s">
        <v>437</v>
      </c>
      <c r="AF60" s="72" t="s">
        <v>438</v>
      </c>
      <c r="AG60" s="72" t="s">
        <v>439</v>
      </c>
      <c r="AH60" s="72" t="s">
        <v>440</v>
      </c>
      <c r="AI60" s="72" t="s">
        <v>441</v>
      </c>
      <c r="AJ60" s="72" t="s">
        <v>442</v>
      </c>
      <c r="AK60" s="72" t="s">
        <v>443</v>
      </c>
      <c r="AL60" s="72" t="s">
        <v>444</v>
      </c>
      <c r="AM60" s="72" t="s">
        <v>445</v>
      </c>
      <c r="AN60" s="72" t="s">
        <v>446</v>
      </c>
      <c r="AO60" s="72" t="s">
        <v>447</v>
      </c>
      <c r="AP60" s="72" t="s">
        <v>448</v>
      </c>
      <c r="AQ60" s="72" t="s">
        <v>449</v>
      </c>
      <c r="AR60" s="72" t="s">
        <v>450</v>
      </c>
      <c r="AS60" s="72" t="s">
        <v>451</v>
      </c>
      <c r="AT60" s="72" t="s">
        <v>452</v>
      </c>
      <c r="AU60" s="72" t="s">
        <v>453</v>
      </c>
      <c r="AV60" s="72" t="s">
        <v>454</v>
      </c>
      <c r="AW60" s="72" t="s">
        <v>455</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309</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4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9"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9"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456</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457</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54296875" customWidth="1"/>
    <col min="14" max="14" width="3.81640625" customWidth="1"/>
    <col min="15" max="15" width="25.453125" customWidth="1"/>
    <col min="16" max="16" width="3.81640625" customWidth="1"/>
    <col min="18" max="18" width="3.81640625" customWidth="1"/>
    <col min="19" max="19" width="22.54296875" customWidth="1"/>
    <col min="20" max="20" width="3.81640625" customWidth="1"/>
    <col min="21" max="21" width="11.54296875" customWidth="1"/>
  </cols>
  <sheetData>
    <row r="7" spans="3:22">
      <c r="C7" s="141" t="s">
        <v>458</v>
      </c>
      <c r="D7" s="84"/>
      <c r="E7" s="141" t="s">
        <v>459</v>
      </c>
      <c r="F7" s="84"/>
      <c r="G7" s="141" t="s">
        <v>460</v>
      </c>
      <c r="H7" s="84"/>
      <c r="I7" s="141" t="s">
        <v>461</v>
      </c>
      <c r="J7" s="84"/>
      <c r="K7" s="141" t="s">
        <v>462</v>
      </c>
      <c r="L7" s="84"/>
      <c r="M7" s="141" t="s">
        <v>462</v>
      </c>
      <c r="N7" s="84"/>
      <c r="O7" s="141" t="s">
        <v>463</v>
      </c>
      <c r="P7" s="84"/>
      <c r="R7" s="84"/>
      <c r="S7" s="141" t="s">
        <v>464</v>
      </c>
      <c r="T7" s="84"/>
      <c r="U7" s="141" t="s">
        <v>146</v>
      </c>
      <c r="V7" s="84"/>
    </row>
    <row r="8" spans="3:22">
      <c r="U8" s="135" t="s">
        <v>465</v>
      </c>
      <c r="V8" s="135"/>
    </row>
    <row r="9" spans="3:22" ht="12.75" customHeight="1">
      <c r="C9" s="3" t="s">
        <v>466</v>
      </c>
      <c r="E9" s="16" t="s">
        <v>41</v>
      </c>
      <c r="G9" t="s">
        <v>467</v>
      </c>
      <c r="I9" t="s">
        <v>468</v>
      </c>
      <c r="K9" t="s">
        <v>48</v>
      </c>
      <c r="M9" t="s">
        <v>469</v>
      </c>
      <c r="O9" t="s">
        <v>87</v>
      </c>
      <c r="S9" t="s">
        <v>470</v>
      </c>
      <c r="U9" s="21" t="s">
        <v>148</v>
      </c>
      <c r="V9" s="21"/>
    </row>
    <row r="10" spans="3:22" ht="12.75" customHeight="1">
      <c r="C10" s="3" t="s">
        <v>471</v>
      </c>
      <c r="E10" s="16" t="s">
        <v>43</v>
      </c>
      <c r="G10" t="s">
        <v>53</v>
      </c>
      <c r="I10" t="s">
        <v>472</v>
      </c>
      <c r="K10" t="s">
        <v>42</v>
      </c>
      <c r="M10" t="s">
        <v>121</v>
      </c>
      <c r="O10" t="s">
        <v>473</v>
      </c>
      <c r="S10" t="s">
        <v>22</v>
      </c>
      <c r="U10" s="21" t="s">
        <v>149</v>
      </c>
      <c r="V10" s="21"/>
    </row>
    <row r="11" spans="3:22" ht="12.75" customHeight="1">
      <c r="C11" s="3" t="s">
        <v>474</v>
      </c>
      <c r="E11" s="16" t="s">
        <v>44</v>
      </c>
      <c r="G11" t="s">
        <v>475</v>
      </c>
      <c r="O11" t="s">
        <v>117</v>
      </c>
      <c r="S11" t="s">
        <v>476</v>
      </c>
      <c r="U11" s="21" t="s">
        <v>147</v>
      </c>
      <c r="V11" s="21"/>
    </row>
    <row r="12" spans="3:22" ht="12.75" customHeight="1">
      <c r="C12" s="3" t="s">
        <v>477</v>
      </c>
      <c r="E12" s="16" t="s">
        <v>45</v>
      </c>
      <c r="O12" t="s">
        <v>478</v>
      </c>
      <c r="U12" s="21" t="s">
        <v>139</v>
      </c>
      <c r="V12" s="21"/>
    </row>
    <row r="13" spans="3:22" ht="12.75" customHeight="1">
      <c r="E13" s="16" t="s">
        <v>46</v>
      </c>
      <c r="O13" t="s">
        <v>479</v>
      </c>
      <c r="U13" s="21" t="s">
        <v>137</v>
      </c>
      <c r="V13" s="21"/>
    </row>
    <row r="14" spans="3:22" ht="12.75" customHeight="1">
      <c r="E14" s="16" t="s">
        <v>47</v>
      </c>
      <c r="O14" t="s">
        <v>113</v>
      </c>
    </row>
    <row r="15" spans="3:22" ht="12.75" customHeight="1">
      <c r="E15" s="16" t="s">
        <v>49</v>
      </c>
      <c r="O15" t="s">
        <v>480</v>
      </c>
    </row>
    <row r="16" spans="3:22" ht="12.75" customHeight="1">
      <c r="E16" s="16" t="s">
        <v>50</v>
      </c>
      <c r="O16" t="s">
        <v>105</v>
      </c>
    </row>
    <row r="17" spans="2:15" ht="12.75" customHeight="1">
      <c r="E17" s="16" t="s">
        <v>51</v>
      </c>
      <c r="O17" t="s">
        <v>109</v>
      </c>
    </row>
    <row r="18" spans="2:15" ht="12.75" customHeight="1">
      <c r="E18" s="16"/>
      <c r="O18" t="s">
        <v>481</v>
      </c>
    </row>
    <row r="19" spans="2:15" ht="12.75" customHeight="1">
      <c r="E19" s="16"/>
      <c r="O19" t="s">
        <v>92</v>
      </c>
    </row>
    <row r="20" spans="2:15" ht="12.75" customHeight="1">
      <c r="E20" s="29"/>
      <c r="O20" t="s">
        <v>482</v>
      </c>
    </row>
    <row r="21" spans="2:15" ht="12.75" customHeight="1">
      <c r="E21" s="17"/>
      <c r="O21" t="s">
        <v>483</v>
      </c>
    </row>
    <row r="22" spans="2:15" ht="12.75" customHeight="1">
      <c r="O22" t="s">
        <v>121</v>
      </c>
    </row>
    <row r="23" spans="2:15" ht="15.5">
      <c r="B23" s="30" t="s">
        <v>484</v>
      </c>
    </row>
    <row r="25" spans="2:15" ht="15.5">
      <c r="B25" s="31" t="s">
        <v>485</v>
      </c>
      <c r="C25" s="32">
        <v>0.1</v>
      </c>
    </row>
    <row r="26" spans="2:15" ht="15.5">
      <c r="B26" s="31" t="s">
        <v>486</v>
      </c>
      <c r="C26" s="32">
        <v>0.5</v>
      </c>
    </row>
    <row r="27" spans="2:15" ht="15.5">
      <c r="B27" s="31" t="s">
        <v>487</v>
      </c>
      <c r="C27" s="32">
        <v>1</v>
      </c>
    </row>
    <row r="28" spans="2:15">
      <c r="C28" s="33"/>
      <c r="D28" s="33"/>
    </row>
    <row r="29" spans="2:15">
      <c r="C29" s="33"/>
      <c r="D29" s="33"/>
    </row>
    <row r="30" spans="2:15" ht="14">
      <c r="B30" s="34" t="s">
        <v>488</v>
      </c>
      <c r="C30" s="208"/>
      <c r="D30" s="208"/>
    </row>
    <row r="31" spans="2:15" ht="14">
      <c r="B31" s="209"/>
      <c r="C31" s="208"/>
      <c r="D31" s="208"/>
    </row>
    <row r="32" spans="2:15" ht="14">
      <c r="B32" s="209" t="s">
        <v>489</v>
      </c>
      <c r="C32" s="209">
        <v>28</v>
      </c>
      <c r="D32" s="209"/>
    </row>
    <row r="33" spans="2:4" ht="14">
      <c r="B33" s="209" t="s">
        <v>490</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453125" customWidth="1"/>
    <col min="5" max="5" width="14.1796875" customWidth="1"/>
    <col min="9" max="9" width="2.453125" customWidth="1"/>
    <col min="10" max="10" width="2.54296875" customWidth="1"/>
    <col min="11" max="11" width="27.54296875" customWidth="1"/>
    <col min="13" max="13" width="12.453125" bestFit="1" customWidth="1"/>
    <col min="14" max="14" width="9.1796875" bestFit="1" customWidth="1"/>
    <col min="15" max="15" width="5.54296875" bestFit="1" customWidth="1"/>
    <col min="16" max="16" width="8.81640625" bestFit="1" customWidth="1"/>
    <col min="17" max="19" width="3.54296875" customWidth="1"/>
    <col min="21" max="21" width="14.81640625" bestFit="1" customWidth="1"/>
    <col min="22" max="22" width="21.453125" bestFit="1" customWidth="1"/>
    <col min="26" max="26" width="21.453125" bestFit="1" customWidth="1"/>
    <col min="120" max="120" width="14.81640625" bestFit="1" customWidth="1"/>
    <col min="125" max="125" width="21.453125" bestFit="1" customWidth="1"/>
  </cols>
  <sheetData>
    <row r="1" spans="1:170" ht="13">
      <c r="A1" s="109" t="s">
        <v>491</v>
      </c>
      <c r="B1" s="109"/>
      <c r="C1" s="109" t="s">
        <v>492</v>
      </c>
      <c r="D1" s="109"/>
      <c r="E1" s="109" t="s">
        <v>493</v>
      </c>
      <c r="F1" s="109"/>
      <c r="G1" s="109"/>
      <c r="H1" s="109"/>
      <c r="I1" s="109"/>
      <c r="J1" s="109"/>
      <c r="K1" s="109" t="s">
        <v>494</v>
      </c>
      <c r="L1" s="109"/>
      <c r="M1" s="109"/>
      <c r="T1" s="259" t="s">
        <v>307</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495</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496</v>
      </c>
      <c r="B2" s="111" t="str">
        <f>'00.Info'!N2</f>
        <v>Versión: 2.0.1</v>
      </c>
      <c r="C2" s="109" t="s">
        <v>14</v>
      </c>
      <c r="D2" s="112" t="str">
        <f>'01.Definición de ámbito'!C7</f>
        <v>SUBDIRECCIÓN GENERAL DE ADMINISTRACIÓN ELECTRÓNICA</v>
      </c>
      <c r="E2" s="109" t="s">
        <v>60</v>
      </c>
      <c r="F2" s="112" t="str">
        <f>'02.Tecnologías'!C9</f>
        <v>Sí</v>
      </c>
      <c r="G2" s="161" t="s">
        <v>497</v>
      </c>
      <c r="H2" s="161" t="s">
        <v>498</v>
      </c>
      <c r="I2" s="161"/>
      <c r="J2" s="161"/>
      <c r="K2" s="118" t="s">
        <v>499</v>
      </c>
      <c r="L2" s="163">
        <f>'03.Muestra'!D45</f>
        <v>10</v>
      </c>
      <c r="M2" s="109"/>
      <c r="T2" s="110" t="s">
        <v>500</v>
      </c>
      <c r="U2" s="110" t="s">
        <v>316</v>
      </c>
      <c r="V2" s="110" t="s">
        <v>501</v>
      </c>
      <c r="W2" s="110" t="s">
        <v>502</v>
      </c>
      <c r="X2" s="110" t="s">
        <v>503</v>
      </c>
      <c r="Y2" s="110" t="s">
        <v>504</v>
      </c>
      <c r="Z2" s="110" t="s">
        <v>84</v>
      </c>
      <c r="AA2" s="110" t="s">
        <v>318</v>
      </c>
      <c r="AB2" s="110" t="s">
        <v>319</v>
      </c>
      <c r="AC2" s="110" t="s">
        <v>320</v>
      </c>
      <c r="AD2" s="110" t="s">
        <v>321</v>
      </c>
      <c r="AE2" s="110" t="s">
        <v>322</v>
      </c>
      <c r="AF2" s="110" t="s">
        <v>323</v>
      </c>
      <c r="AG2" s="110" t="s">
        <v>324</v>
      </c>
      <c r="AH2" s="110" t="s">
        <v>325</v>
      </c>
      <c r="AI2" s="110" t="s">
        <v>326</v>
      </c>
      <c r="AJ2" s="110" t="s">
        <v>327</v>
      </c>
      <c r="AK2" s="110" t="s">
        <v>328</v>
      </c>
      <c r="AL2" s="110" t="s">
        <v>329</v>
      </c>
      <c r="AM2" s="110" t="s">
        <v>330</v>
      </c>
      <c r="AN2" s="110" t="s">
        <v>331</v>
      </c>
      <c r="AO2" s="110" t="s">
        <v>332</v>
      </c>
      <c r="AP2" s="110" t="s">
        <v>333</v>
      </c>
      <c r="AQ2" s="110" t="s">
        <v>334</v>
      </c>
      <c r="AR2" s="110" t="s">
        <v>335</v>
      </c>
      <c r="AS2" s="110" t="s">
        <v>336</v>
      </c>
      <c r="AT2" s="110" t="s">
        <v>337</v>
      </c>
      <c r="AU2" s="110" t="s">
        <v>338</v>
      </c>
      <c r="AV2" s="110" t="s">
        <v>339</v>
      </c>
      <c r="AW2" s="110" t="s">
        <v>340</v>
      </c>
      <c r="AX2" s="110" t="s">
        <v>341</v>
      </c>
      <c r="AY2" s="110" t="s">
        <v>342</v>
      </c>
      <c r="AZ2" s="110" t="s">
        <v>343</v>
      </c>
      <c r="BA2" s="110" t="s">
        <v>344</v>
      </c>
      <c r="BB2" s="110" t="s">
        <v>345</v>
      </c>
      <c r="BC2" s="110" t="s">
        <v>346</v>
      </c>
      <c r="BD2" s="110" t="s">
        <v>347</v>
      </c>
      <c r="BE2" s="110" t="s">
        <v>348</v>
      </c>
      <c r="BF2" s="110" t="s">
        <v>349</v>
      </c>
      <c r="BG2" s="110" t="s">
        <v>350</v>
      </c>
      <c r="BH2" s="110" t="s">
        <v>351</v>
      </c>
      <c r="BI2" s="110" t="s">
        <v>352</v>
      </c>
      <c r="BJ2" s="110" t="s">
        <v>353</v>
      </c>
      <c r="BK2" s="110" t="s">
        <v>354</v>
      </c>
      <c r="BL2" s="110" t="s">
        <v>355</v>
      </c>
      <c r="BM2" s="110" t="s">
        <v>356</v>
      </c>
      <c r="BN2" s="110" t="s">
        <v>357</v>
      </c>
      <c r="BO2" s="110" t="s">
        <v>358</v>
      </c>
      <c r="BP2" s="110" t="s">
        <v>359</v>
      </c>
      <c r="BQ2" s="110" t="s">
        <v>360</v>
      </c>
      <c r="BR2" s="110" t="s">
        <v>361</v>
      </c>
      <c r="BS2" s="110" t="s">
        <v>362</v>
      </c>
      <c r="BT2" s="110" t="s">
        <v>363</v>
      </c>
      <c r="BU2" s="110" t="s">
        <v>364</v>
      </c>
      <c r="BV2" s="110" t="s">
        <v>365</v>
      </c>
      <c r="BW2" s="110" t="s">
        <v>366</v>
      </c>
      <c r="BX2" s="110" t="s">
        <v>367</v>
      </c>
      <c r="BY2" s="110" t="s">
        <v>368</v>
      </c>
      <c r="BZ2" s="110" t="s">
        <v>369</v>
      </c>
      <c r="CA2" s="110" t="s">
        <v>370</v>
      </c>
      <c r="CB2" s="110" t="s">
        <v>371</v>
      </c>
      <c r="CC2" s="110" t="s">
        <v>372</v>
      </c>
      <c r="CD2" s="110" t="s">
        <v>373</v>
      </c>
      <c r="CE2" s="110" t="s">
        <v>374</v>
      </c>
      <c r="CF2" s="110" t="s">
        <v>375</v>
      </c>
      <c r="CG2" s="110" t="s">
        <v>376</v>
      </c>
      <c r="CH2" s="110" t="s">
        <v>377</v>
      </c>
      <c r="CI2" s="110" t="s">
        <v>378</v>
      </c>
      <c r="CJ2" s="110" t="s">
        <v>379</v>
      </c>
      <c r="CK2" s="110" t="s">
        <v>380</v>
      </c>
      <c r="CL2" s="110" t="s">
        <v>381</v>
      </c>
      <c r="CM2" s="110" t="s">
        <v>382</v>
      </c>
      <c r="CN2" s="110" t="s">
        <v>383</v>
      </c>
      <c r="CO2" s="110" t="s">
        <v>384</v>
      </c>
      <c r="CP2" s="110" t="s">
        <v>385</v>
      </c>
      <c r="CQ2" s="110" t="s">
        <v>386</v>
      </c>
      <c r="CR2" s="110" t="s">
        <v>387</v>
      </c>
      <c r="CS2" s="110" t="s">
        <v>388</v>
      </c>
      <c r="CT2" s="110" t="s">
        <v>389</v>
      </c>
      <c r="CU2" s="110" t="s">
        <v>390</v>
      </c>
      <c r="CV2" s="110" t="s">
        <v>391</v>
      </c>
      <c r="CW2" s="110" t="s">
        <v>392</v>
      </c>
      <c r="CX2" s="110" t="s">
        <v>393</v>
      </c>
      <c r="CY2" s="110" t="s">
        <v>394</v>
      </c>
      <c r="CZ2" s="110" t="s">
        <v>395</v>
      </c>
      <c r="DA2" s="110" t="s">
        <v>396</v>
      </c>
      <c r="DB2" s="110" t="s">
        <v>397</v>
      </c>
      <c r="DC2" s="110" t="s">
        <v>398</v>
      </c>
      <c r="DD2" s="110" t="s">
        <v>399</v>
      </c>
      <c r="DE2" s="110" t="s">
        <v>400</v>
      </c>
      <c r="DF2" s="110" t="s">
        <v>401</v>
      </c>
      <c r="DG2" s="110" t="s">
        <v>402</v>
      </c>
      <c r="DH2" s="110" t="s">
        <v>403</v>
      </c>
      <c r="DI2" s="110" t="s">
        <v>404</v>
      </c>
      <c r="DJ2" s="110" t="s">
        <v>405</v>
      </c>
      <c r="DK2" s="110" t="s">
        <v>406</v>
      </c>
      <c r="DL2" s="110" t="s">
        <v>407</v>
      </c>
      <c r="DM2" s="110" t="s">
        <v>408</v>
      </c>
      <c r="DN2" s="110" t="s">
        <v>409</v>
      </c>
      <c r="DO2" s="110" t="s">
        <v>500</v>
      </c>
      <c r="DP2" s="110" t="s">
        <v>316</v>
      </c>
      <c r="DQ2" s="110" t="s">
        <v>501</v>
      </c>
      <c r="DR2" s="110" t="s">
        <v>502</v>
      </c>
      <c r="DS2" s="110" t="s">
        <v>503</v>
      </c>
      <c r="DT2" s="110" t="s">
        <v>504</v>
      </c>
      <c r="DU2" s="110" t="s">
        <v>84</v>
      </c>
      <c r="DV2" s="110" t="s">
        <v>411</v>
      </c>
      <c r="DW2" s="109" t="s">
        <v>412</v>
      </c>
      <c r="DX2" s="109" t="s">
        <v>413</v>
      </c>
      <c r="DY2" s="109" t="s">
        <v>414</v>
      </c>
      <c r="DZ2" s="109" t="s">
        <v>415</v>
      </c>
      <c r="EA2" s="109" t="s">
        <v>416</v>
      </c>
      <c r="EB2" s="109" t="s">
        <v>417</v>
      </c>
      <c r="EC2" s="109" t="s">
        <v>418</v>
      </c>
      <c r="ED2" s="109" t="s">
        <v>419</v>
      </c>
      <c r="EE2" s="109" t="s">
        <v>420</v>
      </c>
      <c r="EF2" s="109" t="s">
        <v>421</v>
      </c>
      <c r="EG2" s="109" t="s">
        <v>422</v>
      </c>
      <c r="EH2" s="109" t="s">
        <v>423</v>
      </c>
      <c r="EI2" s="109" t="s">
        <v>424</v>
      </c>
      <c r="EJ2" s="109" t="s">
        <v>425</v>
      </c>
      <c r="EK2" s="109" t="s">
        <v>426</v>
      </c>
      <c r="EL2" s="109" t="s">
        <v>427</v>
      </c>
      <c r="EM2" s="109" t="s">
        <v>428</v>
      </c>
      <c r="EN2" s="109" t="s">
        <v>429</v>
      </c>
      <c r="EO2" s="109" t="s">
        <v>430</v>
      </c>
      <c r="EP2" s="109" t="s">
        <v>431</v>
      </c>
      <c r="EQ2" s="109" t="s">
        <v>432</v>
      </c>
      <c r="ER2" s="109" t="s">
        <v>433</v>
      </c>
      <c r="ES2" s="109" t="s">
        <v>434</v>
      </c>
      <c r="ET2" s="109" t="s">
        <v>435</v>
      </c>
      <c r="EU2" s="109" t="s">
        <v>436</v>
      </c>
      <c r="EV2" s="109" t="s">
        <v>437</v>
      </c>
      <c r="EW2" s="109" t="s">
        <v>438</v>
      </c>
      <c r="EX2" s="109" t="s">
        <v>439</v>
      </c>
      <c r="EY2" s="109" t="s">
        <v>440</v>
      </c>
      <c r="EZ2" s="109" t="s">
        <v>441</v>
      </c>
      <c r="FA2" s="109" t="s">
        <v>442</v>
      </c>
      <c r="FB2" s="109" t="s">
        <v>443</v>
      </c>
      <c r="FC2" s="109" t="s">
        <v>444</v>
      </c>
      <c r="FD2" s="109" t="s">
        <v>445</v>
      </c>
      <c r="FE2" s="109" t="s">
        <v>446</v>
      </c>
      <c r="FF2" s="109" t="s">
        <v>447</v>
      </c>
      <c r="FG2" s="109" t="s">
        <v>448</v>
      </c>
      <c r="FH2" s="109" t="s">
        <v>449</v>
      </c>
      <c r="FI2" s="109" t="s">
        <v>450</v>
      </c>
      <c r="FJ2" s="109" t="s">
        <v>451</v>
      </c>
      <c r="FK2" s="109" t="s">
        <v>452</v>
      </c>
      <c r="FL2" s="109" t="s">
        <v>453</v>
      </c>
      <c r="FM2" s="109" t="s">
        <v>454</v>
      </c>
      <c r="FN2" s="109" t="s">
        <v>455</v>
      </c>
    </row>
    <row r="3" spans="1:170" ht="13">
      <c r="C3" s="109" t="s">
        <v>15</v>
      </c>
      <c r="D3" s="112" t="str">
        <f>'01.Definición de ámbito'!C9</f>
        <v>A13043893</v>
      </c>
      <c r="E3" s="109" t="s">
        <v>63</v>
      </c>
      <c r="F3" s="112" t="str">
        <f>'02.Tecnologías'!C10</f>
        <v>No</v>
      </c>
      <c r="G3" s="112">
        <f>'02.Tecnologías'!K13</f>
        <v>0</v>
      </c>
      <c r="H3" s="112">
        <f>'02.Tecnologías'!L13</f>
        <v>0</v>
      </c>
      <c r="I3" s="162"/>
      <c r="J3" s="162"/>
      <c r="K3" s="118" t="s">
        <v>505</v>
      </c>
      <c r="L3" s="163">
        <f>'03.Muestra'!D47</f>
        <v>9</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https://www.comunidad.madrid/hospital/elescorial/</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66</v>
      </c>
      <c r="F4" s="112" t="str">
        <f>'02.Tecnologías'!C11</f>
        <v>No</v>
      </c>
      <c r="G4" s="112">
        <f>'02.Tecnologías'!K14</f>
        <v>0</v>
      </c>
      <c r="H4" s="112">
        <f>'02.Tecnologías'!L14</f>
        <v>0</v>
      </c>
      <c r="I4" s="162"/>
      <c r="J4" s="162"/>
      <c r="K4" s="118" t="s">
        <v>506</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https://www.comunidad.madrid/hospital/elescorial/ciudadanos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Falla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69</v>
      </c>
      <c r="F5" s="112" t="str">
        <f>'02.Tecnologías'!C12</f>
        <v>Sí</v>
      </c>
      <c r="G5" s="112">
        <f>'02.Tecnologías'!K15</f>
        <v>0</v>
      </c>
      <c r="H5" s="112">
        <f>'02.Tecnologías'!L15</f>
        <v>0</v>
      </c>
      <c r="I5" s="162"/>
      <c r="J5" s="162"/>
      <c r="K5" s="118" t="s">
        <v>507</v>
      </c>
      <c r="L5" s="163" t="str">
        <f>'03.Muestra'!D52</f>
        <v>SI</v>
      </c>
      <c r="M5" s="109"/>
      <c r="T5" s="113">
        <f>RESULTADOS!B22</f>
        <v>3</v>
      </c>
      <c r="U5" s="113" t="str">
        <f>RESULTADOS!C22</f>
        <v>PROFESIONALES</v>
      </c>
      <c r="V5" s="113" t="str">
        <f t="shared" si="0"/>
        <v>Página web</v>
      </c>
      <c r="W5" s="113" t="str">
        <v>Pagina tipo</v>
      </c>
      <c r="X5" s="113" t="str">
        <f>RESULTADOS!D22</f>
        <v>https://www.comunidad.madrid/hospital/elescorial/profesionales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Pasa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74</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https://www.comunidad.madrid/hospital/elescorial/comunicación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Pasa</v>
      </c>
      <c r="AX6" s="111" t="str">
        <f ca="1">RESULTADOS!AB23</f>
        <v>Pasa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Pasa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Pasa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61</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https://www.comunidad.madrid/hospital/elescorial/nosotros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Pasa</v>
      </c>
      <c r="AX7" s="111" t="str">
        <f ca="1">RESULTADOS!AB24</f>
        <v>Pasa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Pasa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Falla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64</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https://www.comunidad.madrid/hospital/elescorial/buscar?search_api_fulltext=&amp;nombre=</v>
      </c>
      <c r="Y8" s="113" t="str">
        <v>Home - lupa - Botón Buscar</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N/A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Pasa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https://www.comunidad.madrid/hospital/elescorial/declaracion-accesibilidad</v>
      </c>
      <c r="Y9" s="113" t="str">
        <v>Home - 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Pasa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Hospital Universitario El Escorial</v>
      </c>
      <c r="E10" s="109" t="s">
        <v>70</v>
      </c>
      <c r="F10" s="112" t="str">
        <f>'02.Tecnologías'!F12</f>
        <v>No</v>
      </c>
      <c r="G10" s="112">
        <f>'02.Tecnologías'!K20</f>
        <v>0</v>
      </c>
      <c r="H10" s="112">
        <f>'02.Tecnologías'!L20</f>
        <v>0</v>
      </c>
      <c r="I10" s="162"/>
      <c r="J10" s="162"/>
      <c r="K10" s="109" t="s">
        <v>508</v>
      </c>
      <c r="L10" s="109"/>
      <c r="M10" s="109"/>
      <c r="T10" s="113">
        <f>RESULTADOS!B27</f>
        <v>8</v>
      </c>
      <c r="U10" s="113" t="str">
        <f>RESULTADOS!C27</f>
        <v>AVISO LEGAL</v>
      </c>
      <c r="V10" s="113" t="str">
        <f t="shared" si="0"/>
        <v>Página web</v>
      </c>
      <c r="W10" s="113" t="str">
        <v>Legal</v>
      </c>
      <c r="X10" s="113" t="str">
        <f>RESULTADOS!D27</f>
        <v>https://www.comunidad.madrid/hospital/elescorial/ciudadanos/aviso-legal-privacidad</v>
      </c>
      <c r="Y10" s="113" t="str">
        <v>Home - Footer - Aviso Legal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Pasa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 xml:space="preserve">https://www.comunidad.madrid/hospital/elescorial	</v>
      </c>
      <c r="E11" s="109" t="s">
        <v>75</v>
      </c>
      <c r="F11" s="112" t="str">
        <f>'02.Tecnologías'!F13</f>
        <v>No</v>
      </c>
      <c r="G11" s="112">
        <f>'02.Tecnologías'!K21</f>
        <v>0</v>
      </c>
      <c r="H11" s="112">
        <f>'02.Tecnologías'!L21</f>
        <v>0</v>
      </c>
      <c r="I11" s="162"/>
      <c r="J11" s="162"/>
      <c r="K11" s="109" t="s">
        <v>297</v>
      </c>
      <c r="L11" s="109"/>
      <c r="M11" s="109"/>
      <c r="N11" s="109"/>
      <c r="O11" s="109"/>
      <c r="P11" s="109"/>
      <c r="T11" s="113">
        <f>RESULTADOS!B28</f>
        <v>9</v>
      </c>
      <c r="U11" s="113" t="str">
        <f>RESULTADOS!C28</f>
        <v>MAPA SITIO</v>
      </c>
      <c r="V11" s="113" t="str">
        <f t="shared" si="0"/>
        <v>Página web</v>
      </c>
      <c r="W11" s="113" t="str">
        <v>Mapa web</v>
      </c>
      <c r="X11" s="113" t="str">
        <f>RESULTADOS!D28</f>
        <v>https://www.comunidad.madrid/hospital/elescorial/sitemap</v>
      </c>
      <c r="Y11" s="113" t="str">
        <v>Home - Footer - Mapa Web</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Falla</v>
      </c>
      <c r="BO11" s="111" t="str">
        <f ca="1">RESULTADOS!AS28</f>
        <v>N/A</v>
      </c>
      <c r="BP11" s="111" t="str">
        <f ca="1">RESULTADOS!AT28</f>
        <v>N/A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Pasa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Se revisan las páginas del dominio</v>
      </c>
      <c r="E12" s="109" t="s">
        <v>62</v>
      </c>
      <c r="F12" s="112" t="str">
        <f>'02.Tecnologías'!I9</f>
        <v>No</v>
      </c>
      <c r="G12" s="112">
        <f>'02.Tecnologías'!K22</f>
        <v>0</v>
      </c>
      <c r="H12" s="112">
        <f>'02.Tecnologías'!L22</f>
        <v>0</v>
      </c>
      <c r="I12" s="162"/>
      <c r="J12" s="162"/>
      <c r="K12" s="22" t="s">
        <v>509</v>
      </c>
      <c r="L12" s="22" t="s">
        <v>300</v>
      </c>
      <c r="M12" s="22" t="s">
        <v>301</v>
      </c>
      <c r="N12" s="22" t="s">
        <v>142</v>
      </c>
      <c r="O12" s="22" t="s">
        <v>302</v>
      </c>
      <c r="P12" s="22" t="s">
        <v>510</v>
      </c>
      <c r="T12" s="113">
        <f>RESULTADOS!B29</f>
        <v>10</v>
      </c>
      <c r="U12" s="113" t="str">
        <f>RESULTADOS!C29</f>
        <v>VIDEOTECA</v>
      </c>
      <c r="V12" s="113" t="str">
        <f t="shared" si="0"/>
        <v>Página web</v>
      </c>
      <c r="W12" s="113" t="str">
        <v>Aleatoria</v>
      </c>
      <c r="X12" s="113" t="str">
        <f>RESULTADOS!D29</f>
        <v>https://www.comunidad.madrid/hospital/elescorial/comunicacion/videoteca</v>
      </c>
      <c r="Y12" s="113" t="str">
        <v>Home - Comunicación - Videoteca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Pasa</v>
      </c>
      <c r="AX12" s="111" t="str">
        <f ca="1">RESULTADOS!AB29</f>
        <v>Pasa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Pasa</v>
      </c>
      <c r="BI12" s="111" t="str">
        <f ca="1">RESULTADOS!AM29</f>
        <v>N/A</v>
      </c>
      <c r="BJ12" s="111" t="str">
        <f ca="1">RESULTADOS!AN29</f>
        <v>Falla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N/A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Pasa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Portal del Hospital Universitario El Escorial</v>
      </c>
      <c r="E13" s="109" t="s">
        <v>65</v>
      </c>
      <c r="F13" s="112" t="str">
        <f>'02.Tecnologías'!I10</f>
        <v>No</v>
      </c>
      <c r="G13" s="112">
        <f>'02.Tecnologías'!K23</f>
        <v>0</v>
      </c>
      <c r="H13" s="112">
        <f>'02.Tecnologías'!L23</f>
        <v>0</v>
      </c>
      <c r="I13" s="162"/>
      <c r="J13" s="162"/>
      <c r="K13" t="s">
        <v>511</v>
      </c>
      <c r="L13" s="164" t="str">
        <f ca="1">RESULTADOS!E8</f>
        <v>22 (23,91 %)</v>
      </c>
      <c r="M13" s="164" t="str">
        <f ca="1">RESULTADOS!F8</f>
        <v>16 (17,39 %)</v>
      </c>
      <c r="N13" s="164" t="str">
        <f ca="1">RESULTADOS!G8</f>
        <v>54 (58,7 %)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45573</v>
      </c>
      <c r="E14" s="109" t="s">
        <v>68</v>
      </c>
      <c r="F14" s="112" t="str">
        <f>'02.Tecnologías'!I11</f>
        <v>No</v>
      </c>
      <c r="G14" s="161"/>
      <c r="H14" s="161"/>
      <c r="I14" s="161"/>
      <c r="J14" s="161"/>
      <c r="K14" t="s">
        <v>512</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71</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Equipo: Intel(R) Core(TM) i5-8365U CPU @ 1.60GHz   1.90 GHz, 
RAM: 8,0 GB
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f>'01.Definición de ámbito'!C45</f>
        <v>0</v>
      </c>
      <c r="K17" t="s">
        <v>513</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41</v>
      </c>
      <c r="D18" s="112" t="str">
        <f>'01.Definición de ámbito'!D48</f>
        <v>No</v>
      </c>
      <c r="K18" t="s">
        <v>137</v>
      </c>
      <c r="L18" s="113">
        <f ca="1">RESULTADOS!L8</f>
        <v>212</v>
      </c>
      <c r="M18" s="171">
        <f ca="1">RESULTADOS!M8</f>
        <v>0.23043478260869565</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43</v>
      </c>
      <c r="D19" s="112" t="str">
        <f>'01.Definición de ámbito'!D49</f>
        <v>No</v>
      </c>
      <c r="K19" t="s">
        <v>139</v>
      </c>
      <c r="L19" s="113">
        <f ca="1">RESULTADOS!L9</f>
        <v>138</v>
      </c>
      <c r="M19" s="171">
        <f ca="1">RESULTADOS!M9</f>
        <v>0.15</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44</v>
      </c>
      <c r="D20" s="112" t="str">
        <f>'01.Definición de ámbito'!D50</f>
        <v>No</v>
      </c>
      <c r="K20" t="s">
        <v>142</v>
      </c>
      <c r="L20" s="113">
        <f ca="1">RESULTADOS!L10</f>
        <v>570</v>
      </c>
      <c r="M20" s="171">
        <f ca="1">RESULTADOS!M10</f>
        <v>0.61956521739130432</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45</v>
      </c>
      <c r="D21" s="112" t="str">
        <f>'01.Definición de ámbito'!D51</f>
        <v>No</v>
      </c>
      <c r="K21" t="s">
        <v>311</v>
      </c>
      <c r="L21" s="113">
        <f ca="1">RESULTADOS!L11</f>
        <v>920</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47</v>
      </c>
      <c r="D23" s="112" t="str">
        <f>'01.Definición de ámbito'!D53</f>
        <v>Sí</v>
      </c>
      <c r="K23" t="s">
        <v>514</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49</v>
      </c>
      <c r="D24" s="112" t="str">
        <f>'01.Definición de ámbito'!D54</f>
        <v>No</v>
      </c>
      <c r="K24" t="s">
        <v>138</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50</v>
      </c>
      <c r="D25" s="112" t="str">
        <f>'01.Definición de ámbito'!D55</f>
        <v>No</v>
      </c>
      <c r="K25" t="s">
        <v>140</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51</v>
      </c>
      <c r="D26" s="112" t="str">
        <f>'01.Definición de ámbito'!D56</f>
        <v>No</v>
      </c>
      <c r="K26" t="s">
        <v>311</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515</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52</v>
      </c>
      <c r="D29" s="112" t="str">
        <f>'01.Definición de ámbito'!C58</f>
        <v>Autoevaluación con recursos externos</v>
      </c>
      <c r="K29" t="s">
        <v>516</v>
      </c>
      <c r="L29" s="115">
        <f ca="1">RESULTADOS!F14</f>
        <v>5.79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5429687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9"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4" customHeight="1">
      <c r="B7" s="13" t="s">
        <v>14</v>
      </c>
      <c r="C7" s="61" t="s">
        <v>517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4" customHeight="1">
      <c r="B9" s="13" t="s">
        <v>15</v>
      </c>
      <c r="C9" s="61" t="s">
        <v>518</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4" customHeight="1">
      <c r="B11" s="13" t="s">
        <v>16</v>
      </c>
      <c r="C11" s="61" t="s">
        <v>519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4" customHeight="1">
      <c r="B13" s="13" t="s">
        <v>17</v>
      </c>
      <c r="C13" s="61" t="s">
        <v>520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4" customHeight="1">
      <c r="B17" s="13" t="s">
        <v>18</v>
      </c>
      <c r="C17" s="61" t="s">
        <v>55</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4" customHeight="1">
      <c r="B19" s="13" t="s">
        <v>19</v>
      </c>
      <c r="C19" s="61" t="s">
        <v>521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4" customHeight="1">
      <c r="B21" s="13" t="s">
        <v>20</v>
      </c>
      <c r="C21" s="61" t="s">
        <v>522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4"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4"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4"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4"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4"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4"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45573</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4"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4"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9" customHeight="1">
      <c r="C48" s="27" t="s">
        <v>41</v>
      </c>
      <c r="D48" s="19" t="s">
        <v>42</v>
      </c>
      <c r="G48" s="62"/>
    </row>
    <row r="49" spans="2:26" ht="14.9" customHeight="1">
      <c r="C49" s="27" t="s">
        <v>43</v>
      </c>
      <c r="D49" s="19" t="s">
        <v>42</v>
      </c>
      <c r="G49" s="62"/>
    </row>
    <row r="50" spans="2:26" ht="14.9" customHeight="1">
      <c r="C50" s="27" t="s">
        <v>44</v>
      </c>
      <c r="D50" s="19" t="s">
        <v>42</v>
      </c>
      <c r="G50" s="62"/>
    </row>
    <row r="51" spans="2:26" ht="14.9" customHeight="1">
      <c r="C51" s="27" t="s">
        <v>45</v>
      </c>
      <c r="D51" s="19" t="s">
        <v>42</v>
      </c>
      <c r="G51" s="62"/>
    </row>
    <row r="52" spans="2:26" ht="14.9" customHeight="1">
      <c r="C52" s="27" t="s">
        <v>46</v>
      </c>
      <c r="D52" s="19" t="s">
        <v>42</v>
      </c>
      <c r="G52" s="62"/>
    </row>
    <row r="53" spans="2:26" ht="14.9" customHeight="1">
      <c r="C53" s="27" t="s">
        <v>47</v>
      </c>
      <c r="D53" s="19" t="s">
        <v>48</v>
      </c>
      <c r="G53" s="62"/>
    </row>
    <row r="54" spans="2:26" ht="14.9" customHeight="1">
      <c r="C54" s="27" t="s">
        <v>49</v>
      </c>
      <c r="D54" s="19" t="s">
        <v>42</v>
      </c>
      <c r="G54" s="62"/>
    </row>
    <row r="55" spans="2:26" ht="14.9" customHeight="1">
      <c r="C55" s="27" t="s">
        <v>50</v>
      </c>
      <c r="D55" s="19" t="s">
        <v>42</v>
      </c>
      <c r="G55" s="62"/>
    </row>
    <row r="56" spans="2:26" ht="14.9" customHeight="1">
      <c r="C56" s="27" t="s">
        <v>51</v>
      </c>
      <c r="D56" s="19" t="s">
        <v>42</v>
      </c>
      <c r="G56" s="62"/>
    </row>
    <row r="57" spans="2:26" ht="13.4"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4"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4"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4"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54296875" style="148" customWidth="1"/>
    <col min="4" max="4" width="9.453125" style="148" customWidth="1"/>
    <col min="5" max="5" width="14.453125" style="148" customWidth="1"/>
    <col min="6" max="6" width="8.54296875" style="148" customWidth="1"/>
    <col min="7" max="7" width="11.54296875" style="148"/>
    <col min="8" max="8" width="12" style="148" customWidth="1"/>
    <col min="9" max="9" width="8.54296875" style="148" customWidth="1"/>
    <col min="10" max="10" width="11.54296875" style="148"/>
    <col min="11" max="11" width="19.54296875" style="148" customWidth="1"/>
    <col min="12" max="12" width="40.5429687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9"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58</v>
      </c>
      <c r="C6" s="216"/>
      <c r="D6" s="216"/>
      <c r="E6" s="216"/>
      <c r="F6" s="216"/>
      <c r="G6" s="216"/>
      <c r="H6" s="216"/>
      <c r="I6" s="216"/>
      <c r="J6" s="216"/>
      <c r="K6" s="216"/>
      <c r="L6" s="216"/>
    </row>
    <row r="7" spans="1:60" ht="33.25" customHeight="1" thickTop="1">
      <c r="B7" s="217" t="s">
        <v>59</v>
      </c>
      <c r="C7" s="217"/>
      <c r="D7" s="217"/>
      <c r="E7" s="217"/>
      <c r="F7" s="217"/>
      <c r="G7" s="217"/>
      <c r="H7" s="217"/>
      <c r="I7" s="217"/>
      <c r="J7" s="217"/>
      <c r="K7" s="217"/>
      <c r="L7" s="217"/>
    </row>
    <row r="8" spans="1:60" ht="21.65" customHeight="1"/>
    <row r="9" spans="1:60" ht="17.149999999999999" customHeight="1">
      <c r="B9" s="156" t="s">
        <v>60</v>
      </c>
      <c r="C9" s="157" t="s">
        <v>48</v>
      </c>
      <c r="E9" s="156" t="s">
        <v>61</v>
      </c>
      <c r="F9" s="157" t="s">
        <v>42</v>
      </c>
      <c r="H9" s="156" t="s">
        <v>62</v>
      </c>
      <c r="I9" s="157" t="s">
        <v>42</v>
      </c>
    </row>
    <row r="10" spans="1:60" ht="17.149999999999999" customHeight="1">
      <c r="B10" s="156" t="s">
        <v>63</v>
      </c>
      <c r="C10" s="157" t="s">
        <v>42</v>
      </c>
      <c r="E10" s="156" t="s">
        <v>64</v>
      </c>
      <c r="F10" s="157" t="s">
        <v>42</v>
      </c>
      <c r="H10" s="156" t="s">
        <v>65</v>
      </c>
      <c r="I10" s="157" t="s">
        <v>42</v>
      </c>
    </row>
    <row r="11" spans="1:60" ht="17.149999999999999" customHeight="1">
      <c r="B11" s="156" t="s">
        <v>66</v>
      </c>
      <c r="C11" s="157" t="s">
        <v>42</v>
      </c>
      <c r="E11" s="156" t="s">
        <v>67</v>
      </c>
      <c r="F11" s="157" t="s">
        <v>42</v>
      </c>
      <c r="H11" s="156" t="s">
        <v>68</v>
      </c>
      <c r="I11" s="157" t="s">
        <v>42</v>
      </c>
    </row>
    <row r="12" spans="1:60" ht="17.149999999999999" customHeight="1">
      <c r="B12" s="156" t="s">
        <v>69</v>
      </c>
      <c r="C12" s="157" t="s">
        <v>48</v>
      </c>
      <c r="E12" s="156" t="s">
        <v>70</v>
      </c>
      <c r="F12" s="157" t="s">
        <v>42</v>
      </c>
      <c r="H12" s="156" t="s">
        <v>71</v>
      </c>
      <c r="I12" s="157" t="s">
        <v>42</v>
      </c>
      <c r="K12" s="158" t="s">
        <v>72</v>
      </c>
      <c r="L12" s="158" t="s">
        <v>73</v>
      </c>
    </row>
    <row r="13" spans="1:60" ht="17.149999999999999" customHeight="1">
      <c r="B13" s="156" t="s">
        <v>74</v>
      </c>
      <c r="C13" s="157" t="s">
        <v>48</v>
      </c>
      <c r="E13" s="156" t="s">
        <v>75</v>
      </c>
      <c r="F13" s="157" t="s">
        <v>42</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76</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4296875" defaultRowHeight="12.5"/>
  <cols>
    <col min="1" max="1" width="11.54296875" style="14" customWidth="1"/>
    <col min="2" max="2" width="9.54296875" style="14" customWidth="1"/>
    <col min="3" max="3" width="27.453125" style="14" customWidth="1"/>
    <col min="4" max="4" width="19.1796875" style="14" customWidth="1"/>
    <col min="5" max="5" width="27.54296875" style="14" bestFit="1" customWidth="1"/>
    <col min="6" max="6" width="72.54296875" style="14" customWidth="1"/>
    <col min="7" max="7" width="64.54296875" style="14" customWidth="1"/>
    <col min="8" max="8" width="134.453125" style="14" customWidth="1"/>
    <col min="9" max="24" width="8.5429687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9"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77</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5" customHeight="1">
      <c r="B8" s="102">
        <v>1</v>
      </c>
      <c r="C8" s="103" t="s">
        <v>85</v>
      </c>
      <c r="D8" s="53" t="s">
        <v>86</v>
      </c>
      <c r="E8" s="53" t="s">
        <v>87</v>
      </c>
      <c r="F8" s="123" t="s">
        <v>88</v>
      </c>
      <c r="G8" s="53" t="s">
        <v>89</v>
      </c>
      <c r="H8" s="143" t="s">
        <v>90</v>
      </c>
      <c r="I8" s="18"/>
      <c r="J8" s="18"/>
      <c r="K8" s="18"/>
      <c r="L8" s="18"/>
      <c r="M8" s="18"/>
      <c r="N8" s="18"/>
      <c r="O8" s="18"/>
      <c r="P8" s="18"/>
      <c r="Q8" s="18"/>
      <c r="R8" s="18"/>
      <c r="S8" s="18"/>
      <c r="T8" s="18"/>
      <c r="U8" s="18"/>
      <c r="V8" s="18"/>
      <c r="W8" s="18"/>
      <c r="X8" s="18"/>
      <c r="Y8" s="18"/>
    </row>
    <row r="9" spans="1:64" ht="18.25" customHeight="1">
      <c r="B9" s="51">
        <v>2</v>
      </c>
      <c r="C9" s="52" t="s">
        <v>91</v>
      </c>
      <c r="D9" s="53" t="s">
        <v>86</v>
      </c>
      <c r="E9" s="53" t="s">
        <v>92</v>
      </c>
      <c r="F9" s="123" t="s">
        <v>93</v>
      </c>
      <c r="G9" s="53" t="s">
        <v>94</v>
      </c>
      <c r="H9" s="101"/>
      <c r="I9" s="18"/>
      <c r="J9" s="18"/>
      <c r="K9" s="18"/>
      <c r="L9" s="18"/>
      <c r="M9" s="18"/>
      <c r="N9" s="18"/>
      <c r="O9" s="18"/>
      <c r="P9" s="18"/>
      <c r="Q9" s="18"/>
      <c r="R9" s="18"/>
      <c r="S9" s="18"/>
      <c r="T9" s="18"/>
      <c r="U9" s="18"/>
      <c r="V9" s="18"/>
      <c r="W9" s="18"/>
      <c r="X9" s="18"/>
      <c r="Y9" s="18"/>
    </row>
    <row r="10" spans="1:64" ht="18.25" customHeight="1">
      <c r="B10" s="51">
        <v>3</v>
      </c>
      <c r="C10" s="52" t="s">
        <v>95</v>
      </c>
      <c r="D10" s="53" t="s">
        <v>86</v>
      </c>
      <c r="E10" s="53" t="s">
        <v>92</v>
      </c>
      <c r="F10" s="123" t="s">
        <v>96</v>
      </c>
      <c r="G10" s="53" t="s">
        <v>97</v>
      </c>
      <c r="H10" s="101"/>
      <c r="I10" s="18"/>
      <c r="J10" s="18"/>
      <c r="K10" s="18"/>
      <c r="L10" s="18"/>
      <c r="M10" s="18"/>
      <c r="N10" s="18"/>
      <c r="O10" s="18"/>
      <c r="P10" s="18"/>
      <c r="Q10" s="18"/>
      <c r="R10" s="18"/>
      <c r="S10" s="18"/>
      <c r="T10" s="18"/>
      <c r="U10" s="18"/>
      <c r="V10" s="18"/>
      <c r="W10" s="18"/>
      <c r="X10" s="18"/>
      <c r="Y10" s="18"/>
    </row>
    <row r="11" spans="1:64" ht="18.25" customHeight="1">
      <c r="B11" s="51">
        <v>4</v>
      </c>
      <c r="C11" s="52" t="s">
        <v>98</v>
      </c>
      <c r="D11" s="53" t="s">
        <v>86</v>
      </c>
      <c r="E11" s="53" t="s">
        <v>92</v>
      </c>
      <c r="F11" s="123" t="s">
        <v>99</v>
      </c>
      <c r="G11" s="53" t="s">
        <v>100</v>
      </c>
      <c r="H11" s="101" t="s">
        <v>37</v>
      </c>
      <c r="I11" s="18"/>
      <c r="J11" s="18"/>
      <c r="K11" s="18"/>
      <c r="L11" s="18"/>
      <c r="M11" s="18"/>
      <c r="N11" s="18"/>
      <c r="O11" s="18"/>
      <c r="P11" s="18"/>
      <c r="Q11" s="18"/>
      <c r="R11" s="18"/>
      <c r="S11" s="18"/>
      <c r="T11" s="18"/>
      <c r="U11" s="18"/>
      <c r="V11" s="18"/>
      <c r="W11" s="18"/>
      <c r="X11" s="18"/>
      <c r="Y11" s="18"/>
    </row>
    <row r="12" spans="1:64" ht="18.25" customHeight="1">
      <c r="B12" s="51">
        <v>5</v>
      </c>
      <c r="C12" s="52" t="s">
        <v>101</v>
      </c>
      <c r="D12" s="53" t="s">
        <v>86</v>
      </c>
      <c r="E12" s="53" t="s">
        <v>92</v>
      </c>
      <c r="F12" s="123" t="s">
        <v>102</v>
      </c>
      <c r="G12" s="53" t="s">
        <v>103</v>
      </c>
      <c r="H12" s="101"/>
      <c r="I12" s="18"/>
      <c r="J12" s="18"/>
      <c r="K12" s="18"/>
      <c r="L12" s="18"/>
      <c r="M12" s="18"/>
      <c r="N12" s="18"/>
      <c r="O12" s="18"/>
      <c r="P12" s="18"/>
      <c r="Q12" s="18"/>
      <c r="R12" s="18"/>
      <c r="S12" s="18"/>
      <c r="T12" s="18"/>
      <c r="U12" s="18"/>
      <c r="V12" s="18"/>
      <c r="W12" s="18"/>
      <c r="X12" s="18"/>
      <c r="Y12" s="18"/>
    </row>
    <row r="13" spans="1:64" ht="18.25" customHeight="1">
      <c r="B13" s="51">
        <v>6</v>
      </c>
      <c r="C13" s="52" t="s">
        <v>104</v>
      </c>
      <c r="D13" s="53" t="s">
        <v>86</v>
      </c>
      <c r="E13" s="53" t="s">
        <v>105</v>
      </c>
      <c r="F13" s="123" t="s">
        <v>106</v>
      </c>
      <c r="G13" s="53" t="s">
        <v>107</v>
      </c>
      <c r="H13" s="101"/>
      <c r="I13" s="18"/>
      <c r="J13" s="18"/>
      <c r="K13" s="18"/>
      <c r="L13" s="18"/>
      <c r="M13" s="18"/>
      <c r="N13" s="18"/>
      <c r="O13" s="18"/>
      <c r="P13" s="18"/>
      <c r="Q13" s="18"/>
      <c r="R13" s="18"/>
      <c r="S13" s="18"/>
      <c r="T13" s="18"/>
      <c r="V13" s="18"/>
      <c r="W13" s="18"/>
      <c r="X13" s="18"/>
      <c r="Y13" s="18"/>
    </row>
    <row r="14" spans="1:64" ht="18.25" customHeight="1">
      <c r="B14" s="51">
        <v>7</v>
      </c>
      <c r="C14" s="52" t="s">
        <v>108</v>
      </c>
      <c r="D14" s="53" t="s">
        <v>86</v>
      </c>
      <c r="E14" s="53" t="s">
        <v>109</v>
      </c>
      <c r="F14" s="123" t="s">
        <v>110</v>
      </c>
      <c r="G14" s="53" t="s">
        <v>111</v>
      </c>
      <c r="H14" s="101"/>
      <c r="I14" s="18"/>
      <c r="J14" s="18"/>
      <c r="K14" s="18"/>
      <c r="L14" s="18"/>
      <c r="M14" s="18"/>
      <c r="N14" s="18"/>
      <c r="O14" s="18"/>
      <c r="P14" s="18"/>
      <c r="Q14" s="18"/>
      <c r="R14" s="18"/>
      <c r="S14" s="18"/>
      <c r="T14" s="18"/>
      <c r="U14" s="18"/>
      <c r="V14" s="18"/>
      <c r="W14" s="18"/>
      <c r="X14" s="18"/>
      <c r="Y14" s="18"/>
    </row>
    <row r="15" spans="1:64" ht="18.25" customHeight="1">
      <c r="B15" s="51">
        <v>8</v>
      </c>
      <c r="C15" s="52" t="s">
        <v>112</v>
      </c>
      <c r="D15" s="53" t="s">
        <v>86</v>
      </c>
      <c r="E15" s="53" t="s">
        <v>113</v>
      </c>
      <c r="F15" s="123" t="s">
        <v>114</v>
      </c>
      <c r="G15" s="53" t="s">
        <v>115</v>
      </c>
      <c r="H15" s="101"/>
      <c r="I15" s="18"/>
      <c r="J15" s="18"/>
      <c r="K15" s="18"/>
      <c r="L15" s="18"/>
      <c r="M15" s="18"/>
      <c r="N15" s="18"/>
      <c r="O15" s="18"/>
      <c r="P15" s="18"/>
      <c r="Q15" s="18"/>
      <c r="R15" s="18"/>
      <c r="S15" s="18"/>
      <c r="T15" s="18"/>
      <c r="U15" s="18"/>
      <c r="V15" s="18"/>
      <c r="W15" s="18"/>
      <c r="X15" s="18"/>
      <c r="Y15" s="18"/>
    </row>
    <row r="16" spans="1:64" ht="18.25" customHeight="1">
      <c r="B16" s="51">
        <v>9</v>
      </c>
      <c r="C16" s="52" t="s">
        <v>116</v>
      </c>
      <c r="D16" s="53" t="s">
        <v>86</v>
      </c>
      <c r="E16" s="53" t="s">
        <v>117</v>
      </c>
      <c r="F16" s="123" t="s">
        <v>118</v>
      </c>
      <c r="G16" s="53" t="s">
        <v>119</v>
      </c>
      <c r="H16" s="101"/>
      <c r="I16" s="18"/>
      <c r="J16" s="18"/>
      <c r="K16" s="18"/>
      <c r="L16" s="18"/>
      <c r="M16" s="18"/>
      <c r="N16" s="18"/>
      <c r="O16" s="18"/>
      <c r="P16" s="18"/>
      <c r="Q16" s="18"/>
      <c r="R16" s="18"/>
      <c r="S16" s="18"/>
      <c r="T16" s="18"/>
      <c r="U16" s="18"/>
      <c r="V16" s="18"/>
      <c r="W16" s="18"/>
      <c r="X16" s="18"/>
      <c r="Y16" s="18"/>
    </row>
    <row r="17" spans="2:25" ht="18.25" customHeight="1">
      <c r="B17" s="51">
        <v>10</v>
      </c>
      <c r="C17" s="52" t="s">
        <v>120</v>
      </c>
      <c r="D17" s="53" t="s">
        <v>86</v>
      </c>
      <c r="E17" s="53" t="s">
        <v>121</v>
      </c>
      <c r="F17" s="123" t="s">
        <v>122</v>
      </c>
      <c r="G17" s="53" t="s">
        <v>123</v>
      </c>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124</v>
      </c>
      <c r="C45" s="56"/>
      <c r="D45" s="57">
        <f>COUNTA(F8:F42)</f>
        <v>10</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125</v>
      </c>
      <c r="C47" s="56"/>
      <c r="D47" s="57">
        <f>D45-D49</f>
        <v>9</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649999999999999" customHeight="1">
      <c r="B49" s="55" t="s">
        <v>126</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127</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2" zoomScale="131" zoomScaleNormal="131" workbookViewId="0">
      <selection activeCell="D104" sqref="D104"/>
    </sheetView>
  </sheetViews>
  <sheetFormatPr baseColWidth="10" defaultColWidth="11.54296875" defaultRowHeight="12.5"/>
  <cols>
    <col min="1" max="1" width="6.453125" style="84" customWidth="1"/>
    <col min="2" max="2" width="16.1796875" style="14" customWidth="1"/>
    <col min="3" max="3" width="64.1796875" style="14" customWidth="1"/>
    <col min="4" max="4" width="18.453125" style="84" customWidth="1"/>
    <col min="5" max="5" width="6.45312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5.453125" style="14" customWidth="1"/>
    <col min="14" max="14" width="12.453125" style="14" customWidth="1"/>
    <col min="15"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129</v>
      </c>
      <c r="C8" s="18"/>
      <c r="D8" s="79"/>
      <c r="E8" s="79"/>
      <c r="F8" s="18"/>
      <c r="G8" s="18"/>
      <c r="H8" s="18"/>
      <c r="I8" s="18"/>
      <c r="J8" s="18"/>
      <c r="K8" s="18"/>
      <c r="L8" s="18"/>
      <c r="M8" s="18"/>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42"/>
      <c r="P11" s="18"/>
      <c r="Q11" s="18"/>
      <c r="R11" s="18"/>
      <c r="U11" s="18"/>
      <c r="V11" s="18"/>
      <c r="W11" s="18"/>
      <c r="X11" s="18"/>
      <c r="Y11" s="18"/>
    </row>
    <row r="12" spans="1:64" ht="12" customHeight="1">
      <c r="B12" s="108" t="s">
        <v>136</v>
      </c>
      <c r="C12" s="198">
        <f>COUNTIF($B$18:$B$3773,B12)</f>
        <v>3</v>
      </c>
      <c r="D12" s="26"/>
      <c r="E12" s="14"/>
      <c r="F12" s="199" t="s">
        <v>137</v>
      </c>
      <c r="G12" s="72">
        <f ca="1">J20+J58+J96</f>
        <v>0</v>
      </c>
      <c r="H12" s="42">
        <f ca="1">IF(($G$15+$K$15)=0,0,G12/($G$15+$K$15))</f>
        <v>0</v>
      </c>
      <c r="I12" s="26"/>
      <c r="J12" s="183" t="s">
        <v>138</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f>
        <v>0</v>
      </c>
      <c r="H13" s="42">
        <f ca="1">IF(($G$15+$K$15)=0,0,G13/($G$15+$K$15))</f>
        <v>0</v>
      </c>
      <c r="I13" s="26"/>
      <c r="J13" s="183" t="s">
        <v>140</v>
      </c>
      <c r="K13" s="72">
        <f ca="1">F20+F58+F96</f>
        <v>0</v>
      </c>
      <c r="L13" s="42">
        <f ca="1">IF(($G$15+$K$15)=0,0,K13/($G$15+$K$15))</f>
        <v>0</v>
      </c>
      <c r="M13" s="18"/>
      <c r="N13" s="18"/>
      <c r="O13" s="18"/>
      <c r="P13" s="18"/>
      <c r="Q13" s="18"/>
      <c r="R13" s="18"/>
      <c r="U13" s="18"/>
      <c r="V13" s="18"/>
      <c r="W13" s="18"/>
      <c r="X13" s="18"/>
      <c r="Y13" s="18"/>
    </row>
    <row r="14" spans="1:64" ht="12" customHeight="1" thickBot="1">
      <c r="B14" s="200" t="s">
        <v>141</v>
      </c>
      <c r="C14" s="201">
        <f>C12+C13</f>
        <v>3</v>
      </c>
      <c r="D14" s="26"/>
      <c r="E14" s="14"/>
      <c r="F14" s="199" t="s">
        <v>142</v>
      </c>
      <c r="G14" s="72">
        <f ca="1">H20+H58+H96</f>
        <v>30</v>
      </c>
      <c r="H14" s="42">
        <f ca="1">IF(($G$15+$K$15)=0,0,G14/($G$15+$K$15))</f>
        <v>1</v>
      </c>
      <c r="I14" s="26"/>
      <c r="J14" s="177" t="s">
        <v>143</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30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144</v>
      </c>
      <c r="B18" s="23" t="s">
        <v>136</v>
      </c>
      <c r="C18" s="24" t="s">
        <v>145</v>
      </c>
      <c r="D18" s="25" t="s">
        <v>146</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https://www.comunidad.madrid/hospital/elescorial/</v>
      </c>
      <c r="D19" s="99" t="s">
        <v>147</v>
      </c>
      <c r="E19" s="79" t="str">
        <f t="shared" ref="E19:E53" si="0">IF(D19&lt;&gt;"",IF(AND(B19&lt;&gt;"",C19&lt;&gt;""),"","ERR"),"")</f>
        <v/>
      </c>
      <c r="F19" s="86" t="s">
        <v>148</v>
      </c>
      <c r="G19" s="87" t="s">
        <v>149</v>
      </c>
      <c r="H19" s="88" t="s">
        <v>147</v>
      </c>
      <c r="I19" s="89" t="s">
        <v>139</v>
      </c>
      <c r="J19" s="90" t="s">
        <v>137</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https://www.comunidad.madrid/hospital/elescorial/ciudadanos</v>
      </c>
      <c r="D20" s="99" t="s">
        <v>147</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https://www.comunidad.madrid/hospital/elescorial/profesionales</v>
      </c>
      <c r="D21" s="99" t="s">
        <v>147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https://www.comunidad.madrid/hospital/elescorial/comunicación</v>
      </c>
      <c r="D22" s="99" t="s">
        <v>147</v>
      </c>
      <c r="E22" s="79" t="str">
        <f t="shared" si="0"/>
        <v/>
      </c>
      <c r="F22" s="18"/>
      <c r="G22" s="18"/>
      <c r="H22" s="18"/>
      <c r="I22" s="18"/>
      <c r="K22" s="170" t="s">
        <v>148</v>
      </c>
      <c r="L22" s="92" t="s">
        <v>150</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https://www.comunidad.madrid/hospital/elescorial/nosotros</v>
      </c>
      <c r="D23" s="99" t="s">
        <v>147</v>
      </c>
      <c r="E23" s="79" t="str">
        <f t="shared" si="0"/>
        <v/>
      </c>
      <c r="F23" s="78"/>
      <c r="G23" s="18"/>
      <c r="H23" s="18"/>
      <c r="I23" s="18"/>
      <c r="K23" s="88" t="s">
        <v>147</v>
      </c>
      <c r="L23" s="92" t="s">
        <v>151</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https://www.comunidad.madrid/hospital/elescorial/buscar?search_api_fulltext=&amp;nombre=</v>
      </c>
      <c r="D24" s="99" t="s">
        <v>147</v>
      </c>
      <c r="E24" s="79" t="str">
        <f t="shared" si="0"/>
        <v/>
      </c>
      <c r="F24" s="18"/>
      <c r="G24" s="18"/>
      <c r="H24" s="18"/>
      <c r="I24" s="18"/>
      <c r="K24" s="87" t="s">
        <v>149</v>
      </c>
      <c r="L24" s="92" t="s">
        <v>152</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https://www.comunidad.madrid/hospital/elescorial/declaracion-accesibilidad</v>
      </c>
      <c r="D25" s="99" t="s">
        <v>147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v>
      </c>
      <c r="C26" s="174" t="str" cm="1">
        <f t="array" ref="C26">IFERROR(INDEX('03.Muestra'!$F$8:$F$42,SMALL(IF("Página Web"='03.Muestra'!$D$8:$D$42,ROW('03.Muestra'!$F$8:$F$42)-MIN(ROW('03.Muestra'!$D$8:$D$42))+1,""),ROW()-18)),"")</f>
        <v>https://www.comunidad.madrid/hospital/elescorial/ciudadanos/aviso-legal-privacidad</v>
      </c>
      <c r="D26" s="99" t="s">
        <v>147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SITIO</v>
      </c>
      <c r="C27" s="174" t="str" cm="1">
        <f t="array" ref="C27">IFERROR(INDEX('03.Muestra'!$F$8:$F$42,SMALL(IF("Página Web"='03.Muestra'!$D$8:$D$42,ROW('03.Muestra'!$F$8:$F$42)-MIN(ROW('03.Muestra'!$D$8:$D$42))+1,""),ROW()-18)),"")</f>
        <v>https://www.comunidad.madrid/hospital/elescorial/sitemap</v>
      </c>
      <c r="D27" s="99" t="s">
        <v>147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VIDEOTECA</v>
      </c>
      <c r="C28" s="174" t="str" cm="1">
        <f t="array" ref="C28">IFERROR(INDEX('03.Muestra'!$F$8:$F$42,SMALL(IF("Página Web"='03.Muestra'!$D$8:$D$42,ROW('03.Muestra'!$F$8:$F$42)-MIN(ROW('03.Muestra'!$D$8:$D$42))+1,""),ROW()-18)),"")</f>
        <v>https://www.comunidad.madrid/hospital/elescorial/comunicacion/videoteca</v>
      </c>
      <c r="D28" s="99" t="s">
        <v>147</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144</v>
      </c>
      <c r="B56" s="23" t="s">
        <v>136</v>
      </c>
      <c r="C56" s="24" t="s">
        <v>153</v>
      </c>
      <c r="D56" s="25" t="s">
        <v>146</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https://www.comunidad.madrid/hospital/elescorial/</v>
      </c>
      <c r="D57" s="99" t="s">
        <v>147</v>
      </c>
      <c r="E57" s="79" t="str">
        <f t="shared" ref="E57:E91" si="2">IF(D57&lt;&gt;"",IF(AND(B57&lt;&gt;"",C57&lt;&gt;""),"","ERR"),"")</f>
        <v/>
      </c>
      <c r="F57" s="86" t="s">
        <v>148</v>
      </c>
      <c r="G57" s="87" t="s">
        <v>149</v>
      </c>
      <c r="H57" s="88" t="s">
        <v>147</v>
      </c>
      <c r="I57" s="89" t="s">
        <v>139</v>
      </c>
      <c r="J57" s="90" t="s">
        <v>137</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https://www.comunidad.madrid/hospital/elescorial/ciudadanos</v>
      </c>
      <c r="D58" s="99" t="s">
        <v>147</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https://www.comunidad.madrid/hospital/elescorial/profesionales</v>
      </c>
      <c r="D59" s="99" t="s">
        <v>147</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https://www.comunidad.madrid/hospital/elescorial/comunicación</v>
      </c>
      <c r="D60" s="99" t="s">
        <v>147</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https://www.comunidad.madrid/hospital/elescorial/nosotros</v>
      </c>
      <c r="D61" s="99" t="s">
        <v>147</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https://www.comunidad.madrid/hospital/elescorial/buscar?search_api_fulltext=&amp;nombre=</v>
      </c>
      <c r="D62" s="99" t="s">
        <v>147</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https://www.comunidad.madrid/hospital/elescorial/declaracion-accesibilidad</v>
      </c>
      <c r="D63" s="99" t="s">
        <v>147</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v>
      </c>
      <c r="C64" s="175" t="str" cm="1">
        <f t="array" ref="C64">IFERROR(INDEX('03.Muestra'!$F$8:$F$42,SMALL(IF("Página Web"='03.Muestra'!$D$8:$D$42,ROW('03.Muestra'!$F$8:$F$42)-MIN(ROW('03.Muestra'!$D$8:$D$42))+1,""),ROW()-56)),"")</f>
        <v>https://www.comunidad.madrid/hospital/elescorial/ciudadanos/aviso-legal-privacidad</v>
      </c>
      <c r="D64" s="99" t="s">
        <v>147</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SITIO</v>
      </c>
      <c r="C65" s="175" t="str" cm="1">
        <f t="array" ref="C65">IFERROR(INDEX('03.Muestra'!$F$8:$F$42,SMALL(IF("Página Web"='03.Muestra'!$D$8:$D$42,ROW('03.Muestra'!$F$8:$F$42)-MIN(ROW('03.Muestra'!$D$8:$D$42))+1,""),ROW()-56)),"")</f>
        <v>https://www.comunidad.madrid/hospital/elescorial/sitemap</v>
      </c>
      <c r="D65" s="99" t="s">
        <v>147</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VIDEOTECA</v>
      </c>
      <c r="C66" s="175" t="str" cm="1">
        <f t="array" ref="C66">IFERROR(INDEX('03.Muestra'!$F$8:$F$42,SMALL(IF("Página Web"='03.Muestra'!$D$8:$D$42,ROW('03.Muestra'!$F$8:$F$42)-MIN(ROW('03.Muestra'!$D$8:$D$42))+1,""),ROW()-56)),"")</f>
        <v>https://www.comunidad.madrid/hospital/elescorial/comunicacion/videoteca</v>
      </c>
      <c r="D66" s="99" t="s">
        <v>147</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144</v>
      </c>
      <c r="B94" s="23" t="s">
        <v>136</v>
      </c>
      <c r="C94" s="24" t="s">
        <v>154</v>
      </c>
      <c r="D94" s="25" t="s">
        <v>146</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https://www.comunidad.madrid/hospital/elescorial/</v>
      </c>
      <c r="D95" s="99" t="s">
        <v>147</v>
      </c>
      <c r="E95" s="79" t="str">
        <f t="shared" ref="E95:E129" si="4">IF(D95&lt;&gt;"",IF(AND(B95&lt;&gt;"",C95&lt;&gt;""),"","ERR"),"")</f>
        <v/>
      </c>
      <c r="F95" s="86" t="s">
        <v>148</v>
      </c>
      <c r="G95" s="87" t="s">
        <v>149</v>
      </c>
      <c r="H95" s="88" t="s">
        <v>147</v>
      </c>
      <c r="I95" s="89" t="s">
        <v>139</v>
      </c>
      <c r="J95" s="90" t="s">
        <v>137</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https://www.comunidad.madrid/hospital/elescorial/ciudadanos</v>
      </c>
      <c r="D96" s="99" t="s">
        <v>147</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https://www.comunidad.madrid/hospital/elescorial/profesionales</v>
      </c>
      <c r="D97" s="99" t="s">
        <v>147</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https://www.comunidad.madrid/hospital/elescorial/comunicación</v>
      </c>
      <c r="D98" s="99" t="s">
        <v>147</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https://www.comunidad.madrid/hospital/elescorial/nosotros</v>
      </c>
      <c r="D99" s="99" t="s">
        <v>147</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https://www.comunidad.madrid/hospital/elescorial/buscar?search_api_fulltext=&amp;nombre=</v>
      </c>
      <c r="D100" s="99" t="s">
        <v>147</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https://www.comunidad.madrid/hospital/elescorial/declaracion-accesibilidad</v>
      </c>
      <c r="D101" s="99" t="s">
        <v>147</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v>
      </c>
      <c r="C102" s="175" t="str" cm="1">
        <f t="array" ref="C102">IFERROR(INDEX('03.Muestra'!$F$8:$F$42,SMALL(IF("Página Web"='03.Muestra'!$D$8:$D$42,ROW('03.Muestra'!$F$8:$F$42)-MIN(ROW('03.Muestra'!$D$8:$D$42))+1,""),ROW()-94)),"")</f>
        <v>https://www.comunidad.madrid/hospital/elescorial/ciudadanos/aviso-legal-privacidad</v>
      </c>
      <c r="D102" s="99" t="s">
        <v>147</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SITIO</v>
      </c>
      <c r="C103" s="175" t="str" cm="1">
        <f t="array" ref="C103">IFERROR(INDEX('03.Muestra'!$F$8:$F$42,SMALL(IF("Página Web"='03.Muestra'!$D$8:$D$42,ROW('03.Muestra'!$F$8:$F$42)-MIN(ROW('03.Muestra'!$D$8:$D$42))+1,""),ROW()-94)),"")</f>
        <v>https://www.comunidad.madrid/hospital/elescorial/sitemap</v>
      </c>
      <c r="D103" s="99" t="s">
        <v>147</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VIDEOTECA</v>
      </c>
      <c r="C104" s="175" t="str" cm="1">
        <f t="array" ref="C104">IFERROR(INDEX('03.Muestra'!$F$8:$F$42,SMALL(IF("Página Web"='03.Muestra'!$D$8:$D$42,ROW('03.Muestra'!$F$8:$F$42)-MIN(ROW('03.Muestra'!$D$8:$D$42))+1,""),ROW()-94)),"")</f>
        <v>https://www.comunidad.madrid/hospital/elescorial/comunicacion/videoteca</v>
      </c>
      <c r="D104" s="99" t="s">
        <v>147</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200" zoomScale="136" zoomScaleNormal="136" workbookViewId="0">
      <selection activeCell="D23" sqref="D23:D26"/>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155</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156</v>
      </c>
      <c r="C8" s="18"/>
      <c r="D8" s="79"/>
      <c r="E8" s="79"/>
      <c r="F8" s="18"/>
      <c r="G8" s="18"/>
      <c r="H8" s="18"/>
      <c r="I8" s="18"/>
      <c r="J8" s="18"/>
      <c r="K8" s="18"/>
      <c r="L8" s="18"/>
      <c r="M8" s="18"/>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COUNTIF($B$18:$B$4418,B12)</f>
        <v>19</v>
      </c>
      <c r="D12" s="26"/>
      <c r="E12" s="14"/>
      <c r="F12" s="199" t="s">
        <v>137</v>
      </c>
      <c r="G12" s="72">
        <f ca="1">J20+J58+J96+J134+J172+J210+J248+J286+J324+J362+J400+J438+J476+J514+J552+J590+J628+J666+J704</f>
        <v>0</v>
      </c>
      <c r="H12" s="42">
        <f ca="1">IF(($G$15+$K$15)=0,0,G12/($G$15+$K$15))</f>
        <v>0</v>
      </c>
      <c r="I12" s="26"/>
      <c r="J12" s="183" t="s">
        <v>138</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I20+I58+I96+I134+I172+I210+I248+I286+I324+I362+I400+I438+I476+I514+I552+I590+I628+I666+I704</f>
        <v>0</v>
      </c>
      <c r="H13" s="42">
        <f ca="1">IF(($G$15+$K$15)=0,0,G13/($G$15+$K$15))</f>
        <v>0</v>
      </c>
      <c r="I13" s="26"/>
      <c r="J13" s="183" t="s">
        <v>140</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141</v>
      </c>
      <c r="C14" s="201">
        <f>C12+C13</f>
        <v>19</v>
      </c>
      <c r="D14" s="26"/>
      <c r="E14" s="14"/>
      <c r="F14" s="199" t="s">
        <v>142</v>
      </c>
      <c r="G14" s="72">
        <f ca="1">H20+H58+H96+H134+H172+H210+H248+H286+H324+H362+H400+H438+H476+H514+H552+H590+H628+H666+H704</f>
        <v>190</v>
      </c>
      <c r="H14" s="42">
        <f ca="1">IF(($G$15+$K$15)=0,0,G14/($G$15+$K$15))</f>
        <v>1</v>
      </c>
      <c r="I14" s="26"/>
      <c r="J14" s="177" t="s">
        <v>143</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190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144</v>
      </c>
      <c r="B18" s="23" t="s">
        <v>136</v>
      </c>
      <c r="C18" s="24" t="s">
        <v>157</v>
      </c>
      <c r="D18" s="25" t="s">
        <v>146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https://www.comunidad.madrid/hospital/elescorial/</v>
      </c>
      <c r="D19" s="99" t="s">
        <v>147</v>
      </c>
      <c r="E19" s="79" t="str">
        <f t="shared" ref="E19:E53" si="0">IF(D19&lt;&gt;"",IF(AND(B19&lt;&gt;"",C19&lt;&gt;""),"","ERR"),"")</f>
        <v/>
      </c>
      <c r="F19" s="86" t="s">
        <v>148</v>
      </c>
      <c r="G19" s="87" t="s">
        <v>149</v>
      </c>
      <c r="H19" s="88" t="s">
        <v>147</v>
      </c>
      <c r="I19" s="89" t="s">
        <v>139</v>
      </c>
      <c r="J19" s="90" t="s">
        <v>137</v>
      </c>
      <c r="K19" s="179" t="s">
        <v>143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https://www.comunidad.madrid/hospital/elescorial/ciudadanos</v>
      </c>
      <c r="D20" s="99" t="s">
        <v>147</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https://www.comunidad.madrid/hospital/elescorial/profesionales</v>
      </c>
      <c r="D21" s="99" t="s">
        <v>147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https://www.comunidad.madrid/hospital/elescorial/comunicación</v>
      </c>
      <c r="D22" s="99" t="s">
        <v>147</v>
      </c>
      <c r="E22" s="79" t="str">
        <f t="shared" si="0"/>
        <v/>
      </c>
      <c r="F22" s="18"/>
      <c r="G22" s="18"/>
      <c r="H22" s="18"/>
      <c r="I22" s="18"/>
      <c r="K22" s="170" t="s">
        <v>148</v>
      </c>
      <c r="L22" s="92" t="s">
        <v>150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https://www.comunidad.madrid/hospital/elescorial/nosotros</v>
      </c>
      <c r="D23" s="99" t="s">
        <v>147</v>
      </c>
      <c r="E23" s="79" t="str">
        <f t="shared" si="0"/>
        <v/>
      </c>
      <c r="F23" s="78"/>
      <c r="G23" s="18"/>
      <c r="H23" s="18"/>
      <c r="I23" s="18"/>
      <c r="K23" s="88" t="s">
        <v>147</v>
      </c>
      <c r="L23" s="92" t="s">
        <v>151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https://www.comunidad.madrid/hospital/elescorial/buscar?search_api_fulltext=&amp;nombre=</v>
      </c>
      <c r="D24" s="99" t="s">
        <v>147</v>
      </c>
      <c r="E24" s="79" t="str">
        <f t="shared" si="0"/>
        <v/>
      </c>
      <c r="F24" s="18"/>
      <c r="G24" s="18"/>
      <c r="H24" s="18"/>
      <c r="I24" s="18"/>
      <c r="K24" s="87" t="s">
        <v>149</v>
      </c>
      <c r="L24" s="92" t="s">
        <v>152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https://www.comunidad.madrid/hospital/elescorial/declaracion-accesibilidad</v>
      </c>
      <c r="D25" s="99" t="s">
        <v>147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https://www.comunidad.madrid/hospital/elescorial/ciudadanos/aviso-legal-privacidad</v>
      </c>
      <c r="D26" s="99" t="s">
        <v>147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https://www.comunidad.madrid/hospital/elescorial/sitemap</v>
      </c>
      <c r="D27" s="99" t="s">
        <v>147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https://www.comunidad.madrid/hospital/elescorial/comunicacion/videoteca</v>
      </c>
      <c r="D28" s="99" t="s">
        <v>147</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144</v>
      </c>
      <c r="B56" s="23" t="s">
        <v>136</v>
      </c>
      <c r="C56" s="24" t="s">
        <v>158</v>
      </c>
      <c r="D56" s="25" t="s">
        <v>146</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https://www.comunidad.madrid/hospital/elescorial/</v>
      </c>
      <c r="D57" s="99" t="s">
        <v>147</v>
      </c>
      <c r="E57" s="79" t="str">
        <f t="shared" ref="E57:E91" si="2">IF(D57&lt;&gt;"",IF(AND(B57&lt;&gt;"",C57&lt;&gt;""),"","ERR"),"")</f>
        <v/>
      </c>
      <c r="F57" s="86" t="s">
        <v>148</v>
      </c>
      <c r="G57" s="87" t="s">
        <v>149</v>
      </c>
      <c r="H57" s="88" t="s">
        <v>147</v>
      </c>
      <c r="I57" s="89" t="s">
        <v>139</v>
      </c>
      <c r="J57" s="90" t="s">
        <v>137</v>
      </c>
      <c r="K57" s="181" t="s">
        <v>143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https://www.comunidad.madrid/hospital/elescorial/ciudadanos</v>
      </c>
      <c r="D58" s="99" t="s">
        <v>147</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https://www.comunidad.madrid/hospital/elescorial/profesionales</v>
      </c>
      <c r="D59" s="99" t="s">
        <v>147</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https://www.comunidad.madrid/hospital/elescorial/comunicación</v>
      </c>
      <c r="D60" s="99" t="s">
        <v>147</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https://www.comunidad.madrid/hospital/elescorial/nosotros</v>
      </c>
      <c r="D61" s="99" t="s">
        <v>147</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https://www.comunidad.madrid/hospital/elescorial/buscar?search_api_fulltext=&amp;nombre=</v>
      </c>
      <c r="D62" s="99" t="s">
        <v>147</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https://www.comunidad.madrid/hospital/elescorial/declaracion-accesibilidad</v>
      </c>
      <c r="D63" s="99" t="s">
        <v>147</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https://www.comunidad.madrid/hospital/elescorial/ciudadanos/aviso-legal-privacidad</v>
      </c>
      <c r="D64" s="99" t="s">
        <v>147</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https://www.comunidad.madrid/hospital/elescorial/sitemap</v>
      </c>
      <c r="D65" s="99" t="s">
        <v>147</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https://www.comunidad.madrid/hospital/elescorial/comunicacion/videoteca</v>
      </c>
      <c r="D66" s="99" t="s">
        <v>147</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144</v>
      </c>
      <c r="B94" s="23" t="s">
        <v>136</v>
      </c>
      <c r="C94" s="24" t="s">
        <v>159</v>
      </c>
      <c r="D94" s="25" t="s">
        <v>146</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https://www.comunidad.madrid/hospital/elescorial/</v>
      </c>
      <c r="D95" s="99" t="s">
        <v>147</v>
      </c>
      <c r="E95" s="79" t="str">
        <f t="shared" ref="E95:E129" si="4">IF(D95&lt;&gt;"",IF(AND(B95&lt;&gt;"",C95&lt;&gt;""),"","ERR"),"")</f>
        <v/>
      </c>
      <c r="F95" s="86" t="s">
        <v>148</v>
      </c>
      <c r="G95" s="87" t="s">
        <v>149</v>
      </c>
      <c r="H95" s="88" t="s">
        <v>147</v>
      </c>
      <c r="I95" s="89" t="s">
        <v>139</v>
      </c>
      <c r="J95" s="90" t="s">
        <v>137</v>
      </c>
      <c r="K95" s="181" t="s">
        <v>143</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https://www.comunidad.madrid/hospital/elescorial/ciudadanos</v>
      </c>
      <c r="D96" s="99" t="s">
        <v>147</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https://www.comunidad.madrid/hospital/elescorial/profesionales</v>
      </c>
      <c r="D97" s="99" t="s">
        <v>147</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https://www.comunidad.madrid/hospital/elescorial/comunicación</v>
      </c>
      <c r="D98" s="99" t="s">
        <v>147</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https://www.comunidad.madrid/hospital/elescorial/nosotros</v>
      </c>
      <c r="D99" s="99" t="s">
        <v>147</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https://www.comunidad.madrid/hospital/elescorial/buscar?search_api_fulltext=&amp;nombre=</v>
      </c>
      <c r="D100" s="99" t="s">
        <v>147</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https://www.comunidad.madrid/hospital/elescorial/declaracion-accesibilidad</v>
      </c>
      <c r="D101" s="99" t="s">
        <v>147</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https://www.comunidad.madrid/hospital/elescorial/ciudadanos/aviso-legal-privacidad</v>
      </c>
      <c r="D102" s="99" t="s">
        <v>147</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https://www.comunidad.madrid/hospital/elescorial/sitemap</v>
      </c>
      <c r="D103" s="99" t="s">
        <v>147</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https://www.comunidad.madrid/hospital/elescorial/comunicacion/videoteca</v>
      </c>
      <c r="D104" s="99" t="s">
        <v>147</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144</v>
      </c>
      <c r="B132" s="23" t="s">
        <v>136</v>
      </c>
      <c r="C132" s="24" t="s">
        <v>160</v>
      </c>
      <c r="D132" s="25" t="s">
        <v>146</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https://www.comunidad.madrid/hospital/elescorial/</v>
      </c>
      <c r="D133" s="99" t="s">
        <v>147</v>
      </c>
      <c r="E133" s="79" t="str">
        <f t="shared" ref="E133:E167" si="6">IF(D133&lt;&gt;"",IF(AND(B133&lt;&gt;"",C133&lt;&gt;""),"","ERR"),"")</f>
        <v/>
      </c>
      <c r="F133" s="86" t="s">
        <v>148</v>
      </c>
      <c r="G133" s="87" t="s">
        <v>149</v>
      </c>
      <c r="H133" s="88" t="s">
        <v>147</v>
      </c>
      <c r="I133" s="89" t="s">
        <v>139</v>
      </c>
      <c r="J133" s="90" t="s">
        <v>137</v>
      </c>
      <c r="K133" s="181" t="s">
        <v>143</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https://www.comunidad.madrid/hospital/elescorial/ciudadanos</v>
      </c>
      <c r="D134" s="99" t="s">
        <v>147</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https://www.comunidad.madrid/hospital/elescorial/profesionales</v>
      </c>
      <c r="D135" s="99" t="s">
        <v>147</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https://www.comunidad.madrid/hospital/elescorial/comunicación</v>
      </c>
      <c r="D136" s="99" t="s">
        <v>147</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https://www.comunidad.madrid/hospital/elescorial/nosotros</v>
      </c>
      <c r="D137" s="99" t="s">
        <v>147</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https://www.comunidad.madrid/hospital/elescorial/buscar?search_api_fulltext=&amp;nombre=</v>
      </c>
      <c r="D138" s="99" t="s">
        <v>147</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https://www.comunidad.madrid/hospital/elescorial/declaracion-accesibilidad</v>
      </c>
      <c r="D139" s="99" t="s">
        <v>147</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https://www.comunidad.madrid/hospital/elescorial/ciudadanos/aviso-legal-privacidad</v>
      </c>
      <c r="D140" s="99" t="s">
        <v>147</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https://www.comunidad.madrid/hospital/elescorial/sitemap</v>
      </c>
      <c r="D141" s="99" t="s">
        <v>147</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https://www.comunidad.madrid/hospital/elescorial/comunicacion/videoteca</v>
      </c>
      <c r="D142" s="99" t="s">
        <v>147</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144</v>
      </c>
      <c r="B170" s="23" t="s">
        <v>136</v>
      </c>
      <c r="C170" s="24" t="s">
        <v>161</v>
      </c>
      <c r="D170" s="25" t="s">
        <v>146</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https://www.comunidad.madrid/hospital/elescorial/</v>
      </c>
      <c r="D171" s="99" t="s">
        <v>147</v>
      </c>
      <c r="E171" s="79" t="str">
        <f t="shared" ref="E171:E205" si="8">IF(D171&lt;&gt;"",IF(AND(B171&lt;&gt;"",C171&lt;&gt;""),"","ERR"),"")</f>
        <v/>
      </c>
      <c r="F171" s="86" t="s">
        <v>148</v>
      </c>
      <c r="G171" s="87" t="s">
        <v>149</v>
      </c>
      <c r="H171" s="88" t="s">
        <v>147</v>
      </c>
      <c r="I171" s="89" t="s">
        <v>139</v>
      </c>
      <c r="J171" s="90" t="s">
        <v>137</v>
      </c>
      <c r="K171" s="181" t="s">
        <v>143</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https://www.comunidad.madrid/hospital/elescorial/ciudadanos</v>
      </c>
      <c r="D172" s="99" t="s">
        <v>147</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https://www.comunidad.madrid/hospital/elescorial/profesionales</v>
      </c>
      <c r="D173" s="99" t="s">
        <v>147</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https://www.comunidad.madrid/hospital/elescorial/comunicación</v>
      </c>
      <c r="D174" s="99" t="s">
        <v>147</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https://www.comunidad.madrid/hospital/elescorial/nosotros</v>
      </c>
      <c r="D175" s="99" t="s">
        <v>147</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https://www.comunidad.madrid/hospital/elescorial/buscar?search_api_fulltext=&amp;nombre=</v>
      </c>
      <c r="D176" s="99" t="s">
        <v>147</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https://www.comunidad.madrid/hospital/elescorial/declaracion-accesibilidad</v>
      </c>
      <c r="D177" s="99" t="s">
        <v>147</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https://www.comunidad.madrid/hospital/elescorial/ciudadanos/aviso-legal-privacidad</v>
      </c>
      <c r="D178" s="99" t="s">
        <v>147</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https://www.comunidad.madrid/hospital/elescorial/sitemap</v>
      </c>
      <c r="D179" s="99" t="s">
        <v>147</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https://www.comunidad.madrid/hospital/elescorial/comunicacion/videoteca</v>
      </c>
      <c r="D180" s="99" t="s">
        <v>147</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144</v>
      </c>
      <c r="B208" s="23" t="s">
        <v>136</v>
      </c>
      <c r="C208" s="172" t="s">
        <v>162</v>
      </c>
      <c r="D208" s="25" t="s">
        <v>146</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https://www.comunidad.madrid/hospital/elescorial/</v>
      </c>
      <c r="D209" s="99" t="s">
        <v>147</v>
      </c>
      <c r="E209" s="79" t="str">
        <f t="shared" ref="E209:E243" si="10">IF(D209&lt;&gt;"",IF(AND(B209&lt;&gt;"",C209&lt;&gt;""),"","ERR"),"")</f>
        <v/>
      </c>
      <c r="F209" s="86" t="s">
        <v>148</v>
      </c>
      <c r="G209" s="87" t="s">
        <v>149</v>
      </c>
      <c r="H209" s="88" t="s">
        <v>147</v>
      </c>
      <c r="I209" s="89" t="s">
        <v>139</v>
      </c>
      <c r="J209" s="90" t="s">
        <v>137</v>
      </c>
      <c r="K209" s="181" t="s">
        <v>143</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https://www.comunidad.madrid/hospital/elescorial/ciudadanos</v>
      </c>
      <c r="D210" s="99" t="s">
        <v>147</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https://www.comunidad.madrid/hospital/elescorial/profesionales</v>
      </c>
      <c r="D211" s="99" t="s">
        <v>147</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https://www.comunidad.madrid/hospital/elescorial/comunicación</v>
      </c>
      <c r="D212" s="99" t="s">
        <v>147</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https://www.comunidad.madrid/hospital/elescorial/nosotros</v>
      </c>
      <c r="D213" s="99" t="s">
        <v>147</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https://www.comunidad.madrid/hospital/elescorial/buscar?search_api_fulltext=&amp;nombre=</v>
      </c>
      <c r="D214" s="99" t="s">
        <v>147</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https://www.comunidad.madrid/hospital/elescorial/declaracion-accesibilidad</v>
      </c>
      <c r="D215" s="99" t="s">
        <v>147</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https://www.comunidad.madrid/hospital/elescorial/ciudadanos/aviso-legal-privacidad</v>
      </c>
      <c r="D216" s="99" t="s">
        <v>147</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https://www.comunidad.madrid/hospital/elescorial/sitemap</v>
      </c>
      <c r="D217" s="99" t="s">
        <v>147</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https://www.comunidad.madrid/hospital/elescorial/comunicacion/videoteca</v>
      </c>
      <c r="D218" s="99" t="s">
        <v>147</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144</v>
      </c>
      <c r="B246" s="23" t="s">
        <v>136</v>
      </c>
      <c r="C246" s="172" t="s">
        <v>163</v>
      </c>
      <c r="D246" s="25" t="s">
        <v>146</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https://www.comunidad.madrid/hospital/elescorial/</v>
      </c>
      <c r="D247" s="99" t="s">
        <v>147</v>
      </c>
      <c r="E247" s="79" t="str">
        <f t="shared" ref="E247:E281" si="12">IF(D247&lt;&gt;"",IF(AND(B247&lt;&gt;"",C247&lt;&gt;""),"","ERR"),"")</f>
        <v/>
      </c>
      <c r="F247" s="86" t="s">
        <v>148</v>
      </c>
      <c r="G247" s="87" t="s">
        <v>149</v>
      </c>
      <c r="H247" s="88" t="s">
        <v>147</v>
      </c>
      <c r="I247" s="89" t="s">
        <v>139</v>
      </c>
      <c r="J247" s="90" t="s">
        <v>137</v>
      </c>
      <c r="K247" s="181" t="s">
        <v>143</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https://www.comunidad.madrid/hospital/elescorial/ciudadanos</v>
      </c>
      <c r="D248" s="99" t="s">
        <v>147</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https://www.comunidad.madrid/hospital/elescorial/profesionales</v>
      </c>
      <c r="D249" s="99" t="s">
        <v>147</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https://www.comunidad.madrid/hospital/elescorial/comunicación</v>
      </c>
      <c r="D250" s="99" t="s">
        <v>147</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https://www.comunidad.madrid/hospital/elescorial/nosotros</v>
      </c>
      <c r="D251" s="99" t="s">
        <v>147</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https://www.comunidad.madrid/hospital/elescorial/buscar?search_api_fulltext=&amp;nombre=</v>
      </c>
      <c r="D252" s="99" t="s">
        <v>147</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https://www.comunidad.madrid/hospital/elescorial/declaracion-accesibilidad</v>
      </c>
      <c r="D253" s="99" t="s">
        <v>147</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https://www.comunidad.madrid/hospital/elescorial/ciudadanos/aviso-legal-privacidad</v>
      </c>
      <c r="D254" s="99" t="s">
        <v>147</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https://www.comunidad.madrid/hospital/elescorial/sitemap</v>
      </c>
      <c r="D255" s="99" t="s">
        <v>147</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https://www.comunidad.madrid/hospital/elescorial/comunicacion/videoteca</v>
      </c>
      <c r="D256" s="99" t="s">
        <v>147</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144</v>
      </c>
      <c r="B284" s="23" t="s">
        <v>136</v>
      </c>
      <c r="C284" s="24" t="s">
        <v>164</v>
      </c>
      <c r="D284" s="25" t="s">
        <v>146</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https://www.comunidad.madrid/hospital/elescorial/</v>
      </c>
      <c r="D285" s="99" t="s">
        <v>147</v>
      </c>
      <c r="E285" s="79" t="str">
        <f t="shared" ref="E285:E319" si="14">IF(D285&lt;&gt;"",IF(AND(B285&lt;&gt;"",C285&lt;&gt;""),"","ERR"),"")</f>
        <v/>
      </c>
      <c r="F285" s="86" t="s">
        <v>148</v>
      </c>
      <c r="G285" s="87" t="s">
        <v>149</v>
      </c>
      <c r="H285" s="88" t="s">
        <v>147</v>
      </c>
      <c r="I285" s="89" t="s">
        <v>139</v>
      </c>
      <c r="J285" s="90" t="s">
        <v>137</v>
      </c>
      <c r="K285" s="181" t="s">
        <v>143</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https://www.comunidad.madrid/hospital/elescorial/ciudadanos</v>
      </c>
      <c r="D286" s="99" t="s">
        <v>147</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https://www.comunidad.madrid/hospital/elescorial/profesionales</v>
      </c>
      <c r="D287" s="99" t="s">
        <v>147</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https://www.comunidad.madrid/hospital/elescorial/comunicación</v>
      </c>
      <c r="D288" s="99" t="s">
        <v>147</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https://www.comunidad.madrid/hospital/elescorial/nosotros</v>
      </c>
      <c r="D289" s="99" t="s">
        <v>147</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https://www.comunidad.madrid/hospital/elescorial/buscar?search_api_fulltext=&amp;nombre=</v>
      </c>
      <c r="D290" s="99" t="s">
        <v>147</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https://www.comunidad.madrid/hospital/elescorial/declaracion-accesibilidad</v>
      </c>
      <c r="D291" s="99" t="s">
        <v>147</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https://www.comunidad.madrid/hospital/elescorial/ciudadanos/aviso-legal-privacidad</v>
      </c>
      <c r="D292" s="99" t="s">
        <v>147</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https://www.comunidad.madrid/hospital/elescorial/sitemap</v>
      </c>
      <c r="D293" s="99" t="s">
        <v>147</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https://www.comunidad.madrid/hospital/elescorial/comunicacion/videoteca</v>
      </c>
      <c r="D294" s="99" t="s">
        <v>147</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144</v>
      </c>
      <c r="B322" s="23" t="s">
        <v>136</v>
      </c>
      <c r="C322" s="24" t="s">
        <v>165</v>
      </c>
      <c r="D322" s="25" t="s">
        <v>146</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https://www.comunidad.madrid/hospital/elescorial/</v>
      </c>
      <c r="D323" s="99" t="s">
        <v>147</v>
      </c>
      <c r="E323" s="79" t="str">
        <f t="shared" ref="E323:E357" si="16">IF(D323&lt;&gt;"",IF(AND(B323&lt;&gt;"",C323&lt;&gt;""),"","ERR"),"")</f>
        <v/>
      </c>
      <c r="F323" s="86" t="s">
        <v>148</v>
      </c>
      <c r="G323" s="87" t="s">
        <v>149</v>
      </c>
      <c r="H323" s="88" t="s">
        <v>147</v>
      </c>
      <c r="I323" s="89" t="s">
        <v>139</v>
      </c>
      <c r="J323" s="90" t="s">
        <v>137</v>
      </c>
      <c r="K323" s="181" t="s">
        <v>143</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https://www.comunidad.madrid/hospital/elescorial/ciudadanos</v>
      </c>
      <c r="D324" s="99" t="s">
        <v>147</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https://www.comunidad.madrid/hospital/elescorial/profesionales</v>
      </c>
      <c r="D325" s="99" t="s">
        <v>147</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https://www.comunidad.madrid/hospital/elescorial/comunicación</v>
      </c>
      <c r="D326" s="99" t="s">
        <v>147</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https://www.comunidad.madrid/hospital/elescorial/nosotros</v>
      </c>
      <c r="D327" s="99" t="s">
        <v>147</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https://www.comunidad.madrid/hospital/elescorial/buscar?search_api_fulltext=&amp;nombre=</v>
      </c>
      <c r="D328" s="99" t="s">
        <v>147</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https://www.comunidad.madrid/hospital/elescorial/declaracion-accesibilidad</v>
      </c>
      <c r="D329" s="99" t="s">
        <v>147</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https://www.comunidad.madrid/hospital/elescorial/ciudadanos/aviso-legal-privacidad</v>
      </c>
      <c r="D330" s="99" t="s">
        <v>147</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https://www.comunidad.madrid/hospital/elescorial/sitemap</v>
      </c>
      <c r="D331" s="99" t="s">
        <v>147</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https://www.comunidad.madrid/hospital/elescorial/comunicacion/videoteca</v>
      </c>
      <c r="D332" s="99" t="s">
        <v>147</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144</v>
      </c>
      <c r="B360" s="23" t="s">
        <v>136</v>
      </c>
      <c r="C360" s="24" t="s">
        <v>166</v>
      </c>
      <c r="D360" s="25" t="s">
        <v>146</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https://www.comunidad.madrid/hospital/elescorial/</v>
      </c>
      <c r="D361" s="99" t="s">
        <v>147</v>
      </c>
      <c r="E361" s="79" t="str">
        <f t="shared" ref="E361:E395" si="18">IF(D361&lt;&gt;"",IF(AND(B361&lt;&gt;"",C361&lt;&gt;""),"","ERR"),"")</f>
        <v/>
      </c>
      <c r="F361" s="86" t="s">
        <v>148</v>
      </c>
      <c r="G361" s="87" t="s">
        <v>149</v>
      </c>
      <c r="H361" s="88" t="s">
        <v>147</v>
      </c>
      <c r="I361" s="89" t="s">
        <v>139</v>
      </c>
      <c r="J361" s="90" t="s">
        <v>137</v>
      </c>
      <c r="K361" s="181" t="s">
        <v>143</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https://www.comunidad.madrid/hospital/elescorial/ciudadanos</v>
      </c>
      <c r="D362" s="99" t="s">
        <v>147</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https://www.comunidad.madrid/hospital/elescorial/profesionales</v>
      </c>
      <c r="D363" s="99" t="s">
        <v>147</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https://www.comunidad.madrid/hospital/elescorial/comunicación</v>
      </c>
      <c r="D364" s="99" t="s">
        <v>147</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https://www.comunidad.madrid/hospital/elescorial/nosotros</v>
      </c>
      <c r="D365" s="99" t="s">
        <v>147</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https://www.comunidad.madrid/hospital/elescorial/buscar?search_api_fulltext=&amp;nombre=</v>
      </c>
      <c r="D366" s="99" t="s">
        <v>147</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https://www.comunidad.madrid/hospital/elescorial/declaracion-accesibilidad</v>
      </c>
      <c r="D367" s="99" t="s">
        <v>147</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https://www.comunidad.madrid/hospital/elescorial/ciudadanos/aviso-legal-privacidad</v>
      </c>
      <c r="D368" s="99" t="s">
        <v>147</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SITIO</v>
      </c>
      <c r="C369" s="85" t="str" cm="1">
        <f t="array" ref="C369">IFERROR(INDEX('03.Muestra'!$F$8:$F$42,SMALL(IF("Página Web"='03.Muestra'!$D$8:$D$42,ROW('03.Muestra'!$F$8:$F$42)-MIN(ROW('03.Muestra'!$D$8:$D$42))+1,""),ROW()-360)),"")</f>
        <v>https://www.comunidad.madrid/hospital/elescorial/sitemap</v>
      </c>
      <c r="D369" s="99" t="s">
        <v>147</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VIDEOTECA</v>
      </c>
      <c r="C370" s="85" t="str" cm="1">
        <f t="array" ref="C370">IFERROR(INDEX('03.Muestra'!$F$8:$F$42,SMALL(IF("Página Web"='03.Muestra'!$D$8:$D$42,ROW('03.Muestra'!$F$8:$F$42)-MIN(ROW('03.Muestra'!$D$8:$D$42))+1,""),ROW()-360)),"")</f>
        <v>https://www.comunidad.madrid/hospital/elescorial/comunicacion/videoteca</v>
      </c>
      <c r="D370" s="99" t="s">
        <v>147</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144</v>
      </c>
      <c r="B398" s="23" t="s">
        <v>136</v>
      </c>
      <c r="C398" s="24" t="s">
        <v>167</v>
      </c>
      <c r="D398" s="25" t="s">
        <v>146</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https://www.comunidad.madrid/hospital/elescorial/</v>
      </c>
      <c r="D399" s="99" t="s">
        <v>147</v>
      </c>
      <c r="E399" s="79" t="str">
        <f t="shared" ref="E399:E433" si="20">IF(D399&lt;&gt;"",IF(AND(B399&lt;&gt;"",C399&lt;&gt;""),"","ERR"),"")</f>
        <v/>
      </c>
      <c r="F399" s="86" t="s">
        <v>148</v>
      </c>
      <c r="G399" s="87" t="s">
        <v>149</v>
      </c>
      <c r="H399" s="88" t="s">
        <v>147</v>
      </c>
      <c r="I399" s="89" t="s">
        <v>139</v>
      </c>
      <c r="J399" s="90" t="s">
        <v>137</v>
      </c>
      <c r="K399" s="181" t="s">
        <v>143</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https://www.comunidad.madrid/hospital/elescorial/ciudadanos</v>
      </c>
      <c r="D400" s="99" t="s">
        <v>147</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https://www.comunidad.madrid/hospital/elescorial/profesionales</v>
      </c>
      <c r="D401" s="99" t="s">
        <v>147</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https://www.comunidad.madrid/hospital/elescorial/comunicación</v>
      </c>
      <c r="D402" s="99" t="s">
        <v>147</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https://www.comunidad.madrid/hospital/elescorial/nosotros</v>
      </c>
      <c r="D403" s="99" t="s">
        <v>147</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https://www.comunidad.madrid/hospital/elescorial/buscar?search_api_fulltext=&amp;nombre=</v>
      </c>
      <c r="D404" s="99" t="s">
        <v>147</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https://www.comunidad.madrid/hospital/elescorial/declaracion-accesibilidad</v>
      </c>
      <c r="D405" s="99" t="s">
        <v>147</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https://www.comunidad.madrid/hospital/elescorial/ciudadanos/aviso-legal-privacidad</v>
      </c>
      <c r="D406" s="99" t="s">
        <v>147</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SITIO</v>
      </c>
      <c r="C407" s="85" t="str" cm="1">
        <f t="array" ref="C407">IFERROR(INDEX('03.Muestra'!$F$8:$F$42,SMALL(IF("Página Web"='03.Muestra'!$D$8:$D$42,ROW('03.Muestra'!$F$8:$F$42)-MIN(ROW('03.Muestra'!$D$8:$D$42))+1,""),ROW()-398)),"")</f>
        <v>https://www.comunidad.madrid/hospital/elescorial/sitemap</v>
      </c>
      <c r="D407" s="99" t="s">
        <v>147</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VIDEOTECA</v>
      </c>
      <c r="C408" s="85" t="str" cm="1">
        <f t="array" ref="C408">IFERROR(INDEX('03.Muestra'!$F$8:$F$42,SMALL(IF("Página Web"='03.Muestra'!$D$8:$D$42,ROW('03.Muestra'!$F$8:$F$42)-MIN(ROW('03.Muestra'!$D$8:$D$42))+1,""),ROW()-398)),"")</f>
        <v>https://www.comunidad.madrid/hospital/elescorial/comunicacion/videoteca</v>
      </c>
      <c r="D408" s="99" t="s">
        <v>147</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144</v>
      </c>
      <c r="B436" s="23" t="s">
        <v>136</v>
      </c>
      <c r="C436" s="24" t="s">
        <v>168</v>
      </c>
      <c r="D436" s="25" t="s">
        <v>146</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https://www.comunidad.madrid/hospital/elescorial/</v>
      </c>
      <c r="D437" s="99" t="s">
        <v>147</v>
      </c>
      <c r="E437" s="79" t="str">
        <f t="shared" ref="E437:E471" si="22">IF(D437&lt;&gt;"",IF(AND(B437&lt;&gt;"",C437&lt;&gt;""),"","ERR"),"")</f>
        <v/>
      </c>
      <c r="F437" s="86" t="s">
        <v>148</v>
      </c>
      <c r="G437" s="87" t="s">
        <v>149</v>
      </c>
      <c r="H437" s="88" t="s">
        <v>147</v>
      </c>
      <c r="I437" s="89" t="s">
        <v>139</v>
      </c>
      <c r="J437" s="90" t="s">
        <v>137</v>
      </c>
      <c r="K437" s="181" t="s">
        <v>143</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https://www.comunidad.madrid/hospital/elescorial/ciudadanos</v>
      </c>
      <c r="D438" s="99" t="s">
        <v>147</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https://www.comunidad.madrid/hospital/elescorial/profesionales</v>
      </c>
      <c r="D439" s="99" t="s">
        <v>147</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https://www.comunidad.madrid/hospital/elescorial/comunicación</v>
      </c>
      <c r="D440" s="99" t="s">
        <v>147</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https://www.comunidad.madrid/hospital/elescorial/nosotros</v>
      </c>
      <c r="D441" s="99" t="s">
        <v>147</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https://www.comunidad.madrid/hospital/elescorial/buscar?search_api_fulltext=&amp;nombre=</v>
      </c>
      <c r="D442" s="99" t="s">
        <v>147</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https://www.comunidad.madrid/hospital/elescorial/declaracion-accesibilidad</v>
      </c>
      <c r="D443" s="99" t="s">
        <v>147</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https://www.comunidad.madrid/hospital/elescorial/ciudadanos/aviso-legal-privacidad</v>
      </c>
      <c r="D444" s="99" t="s">
        <v>147</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SITIO</v>
      </c>
      <c r="C445" s="85" t="str" cm="1">
        <f t="array" ref="C445">IFERROR(INDEX('03.Muestra'!$F$8:$F$42,SMALL(IF("Página Web"='03.Muestra'!$D$8:$D$42,ROW('03.Muestra'!$F$8:$F$42)-MIN(ROW('03.Muestra'!$D$8:$D$42))+1,""),ROW()-436)),"")</f>
        <v>https://www.comunidad.madrid/hospital/elescorial/sitemap</v>
      </c>
      <c r="D445" s="99" t="s">
        <v>147</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VIDEOTECA</v>
      </c>
      <c r="C446" s="85" t="str" cm="1">
        <f t="array" ref="C446">IFERROR(INDEX('03.Muestra'!$F$8:$F$42,SMALL(IF("Página Web"='03.Muestra'!$D$8:$D$42,ROW('03.Muestra'!$F$8:$F$42)-MIN(ROW('03.Muestra'!$D$8:$D$42))+1,""),ROW()-436)),"")</f>
        <v>https://www.comunidad.madrid/hospital/elescorial/comunicacion/videoteca</v>
      </c>
      <c r="D446" s="99" t="s">
        <v>147</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144</v>
      </c>
      <c r="B474" s="23" t="s">
        <v>136</v>
      </c>
      <c r="C474" s="24" t="s">
        <v>169</v>
      </c>
      <c r="D474" s="25" t="s">
        <v>146</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https://www.comunidad.madrid/hospital/elescorial/</v>
      </c>
      <c r="D475" s="99" t="s">
        <v>147</v>
      </c>
      <c r="E475" s="79" t="str">
        <f t="shared" ref="E475:E509" si="24">IF(D475&lt;&gt;"",IF(AND(B475&lt;&gt;"",C475&lt;&gt;""),"","ERR"),"")</f>
        <v/>
      </c>
      <c r="F475" s="86" t="s">
        <v>148</v>
      </c>
      <c r="G475" s="87" t="s">
        <v>149</v>
      </c>
      <c r="H475" s="88" t="s">
        <v>147</v>
      </c>
      <c r="I475" s="89" t="s">
        <v>139</v>
      </c>
      <c r="J475" s="90" t="s">
        <v>137</v>
      </c>
      <c r="K475" s="181" t="s">
        <v>143</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https://www.comunidad.madrid/hospital/elescorial/ciudadanos</v>
      </c>
      <c r="D476" s="99" t="s">
        <v>147</v>
      </c>
      <c r="E476" s="79" t="str">
        <f t="shared" si="24"/>
        <v/>
      </c>
      <c r="F476" s="91">
        <f ca="1">COUNTIF($D475:INDIRECT("$D" &amp;  SUM(ROW()-1,'03.Muestra'!$D$45)-1),F475)</f>
        <v>0</v>
      </c>
      <c r="G476" s="91">
        <f ca="1">COUNTIF($D475:INDIRECT("$D" &amp;  SUM(ROW()-1,'03.Muestra'!$D$45)-1),G475)</f>
        <v>0</v>
      </c>
      <c r="H476" s="91">
        <f ca="1">COUNTIF($D475:INDIRECT("$D" &amp;  SUM(ROW()-1,'03.Muestra'!$D$45)-1),H475)</f>
        <v>10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https://www.comunidad.madrid/hospital/elescorial/profesionales</v>
      </c>
      <c r="D477" s="99" t="s">
        <v>147</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https://www.comunidad.madrid/hospital/elescorial/comunicación</v>
      </c>
      <c r="D478" s="99" t="s">
        <v>147</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https://www.comunidad.madrid/hospital/elescorial/nosotros</v>
      </c>
      <c r="D479" s="99" t="s">
        <v>147</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https://www.comunidad.madrid/hospital/elescorial/buscar?search_api_fulltext=&amp;nombre=</v>
      </c>
      <c r="D480" s="99" t="s">
        <v>147</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https://www.comunidad.madrid/hospital/elescorial/declaracion-accesibilidad</v>
      </c>
      <c r="D481" s="99" t="s">
        <v>147</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https://www.comunidad.madrid/hospital/elescorial/ciudadanos/aviso-legal-privacidad</v>
      </c>
      <c r="D482" s="99" t="s">
        <v>147</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SITIO</v>
      </c>
      <c r="C483" s="85" t="str" cm="1">
        <f t="array" ref="C483">IFERROR(INDEX('03.Muestra'!$F$8:$F$42,SMALL(IF("Página Web"='03.Muestra'!$D$8:$D$42,ROW('03.Muestra'!$F$8:$F$42)-MIN(ROW('03.Muestra'!$D$8:$D$42))+1,""),ROW()-474)),"")</f>
        <v>https://www.comunidad.madrid/hospital/elescorial/sitemap</v>
      </c>
      <c r="D483" s="99" t="s">
        <v>147</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VIDEOTECA</v>
      </c>
      <c r="C484" s="85" t="str" cm="1">
        <f t="array" ref="C484">IFERROR(INDEX('03.Muestra'!$F$8:$F$42,SMALL(IF("Página Web"='03.Muestra'!$D$8:$D$42,ROW('03.Muestra'!$F$8:$F$42)-MIN(ROW('03.Muestra'!$D$8:$D$42))+1,""),ROW()-474)),"")</f>
        <v>https://www.comunidad.madrid/hospital/elescorial/comunicacion/videoteca</v>
      </c>
      <c r="D484" s="99" t="s">
        <v>147</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144</v>
      </c>
      <c r="B512" s="23" t="s">
        <v>136</v>
      </c>
      <c r="C512" s="24" t="s">
        <v>170</v>
      </c>
      <c r="D512" s="25" t="s">
        <v>146</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https://www.comunidad.madrid/hospital/elescorial/</v>
      </c>
      <c r="D513" s="99" t="s">
        <v>147</v>
      </c>
      <c r="E513" s="79" t="str">
        <f t="shared" ref="E513:E547" si="26">IF(D513&lt;&gt;"",IF(AND(B513&lt;&gt;"",C513&lt;&gt;""),"","ERR"),"")</f>
        <v/>
      </c>
      <c r="F513" s="86" t="s">
        <v>148</v>
      </c>
      <c r="G513" s="87" t="s">
        <v>149</v>
      </c>
      <c r="H513" s="88" t="s">
        <v>147</v>
      </c>
      <c r="I513" s="89" t="s">
        <v>139</v>
      </c>
      <c r="J513" s="90" t="s">
        <v>137</v>
      </c>
      <c r="K513" s="181" t="s">
        <v>143</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https://www.comunidad.madrid/hospital/elescorial/ciudadanos</v>
      </c>
      <c r="D514" s="99" t="s">
        <v>147</v>
      </c>
      <c r="E514" s="79" t="str">
        <f t="shared" si="26"/>
        <v/>
      </c>
      <c r="F514" s="91">
        <f ca="1">COUNTIF($D513:INDIRECT("$D" &amp;  SUM(ROW()-1,'03.Muestra'!$D$45)-1),F513)</f>
        <v>0</v>
      </c>
      <c r="G514" s="91">
        <f ca="1">COUNTIF($D513:INDIRECT("$D" &amp;  SUM(ROW()-1,'03.Muestra'!$D$45)-1),G513)</f>
        <v>0</v>
      </c>
      <c r="H514" s="91">
        <f ca="1">COUNTIF($D513:INDIRECT("$D" &amp;  SUM(ROW()-1,'03.Muestra'!$D$45)-1),H513)</f>
        <v>10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https://www.comunidad.madrid/hospital/elescorial/profesionales</v>
      </c>
      <c r="D515" s="99" t="s">
        <v>147</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https://www.comunidad.madrid/hospital/elescorial/comunicación</v>
      </c>
      <c r="D516" s="99" t="s">
        <v>147</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https://www.comunidad.madrid/hospital/elescorial/nosotros</v>
      </c>
      <c r="D517" s="99" t="s">
        <v>147</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https://www.comunidad.madrid/hospital/elescorial/buscar?search_api_fulltext=&amp;nombre=</v>
      </c>
      <c r="D518" s="99" t="s">
        <v>147</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https://www.comunidad.madrid/hospital/elescorial/declaracion-accesibilidad</v>
      </c>
      <c r="D519" s="99" t="s">
        <v>147</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https://www.comunidad.madrid/hospital/elescorial/ciudadanos/aviso-legal-privacidad</v>
      </c>
      <c r="D520" s="99" t="s">
        <v>147</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SITIO</v>
      </c>
      <c r="C521" s="85" t="str" cm="1">
        <f t="array" ref="C521">IFERROR(INDEX('03.Muestra'!$F$8:$F$42,SMALL(IF("Página Web"='03.Muestra'!$D$8:$D$42,ROW('03.Muestra'!$F$8:$F$42)-MIN(ROW('03.Muestra'!$D$8:$D$42))+1,""),ROW()-512)),"")</f>
        <v>https://www.comunidad.madrid/hospital/elescorial/sitemap</v>
      </c>
      <c r="D521" s="99" t="s">
        <v>147</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VIDEOTECA</v>
      </c>
      <c r="C522" s="85" t="str" cm="1">
        <f t="array" ref="C522">IFERROR(INDEX('03.Muestra'!$F$8:$F$42,SMALL(IF("Página Web"='03.Muestra'!$D$8:$D$42,ROW('03.Muestra'!$F$8:$F$42)-MIN(ROW('03.Muestra'!$D$8:$D$42))+1,""),ROW()-512)),"")</f>
        <v>https://www.comunidad.madrid/hospital/elescorial/comunicacion/videoteca</v>
      </c>
      <c r="D522" s="99" t="s">
        <v>147</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144</v>
      </c>
      <c r="B550" s="23" t="s">
        <v>136</v>
      </c>
      <c r="C550" s="24" t="s">
        <v>171</v>
      </c>
      <c r="D550" s="25" t="s">
        <v>146</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https://www.comunidad.madrid/hospital/elescorial/</v>
      </c>
      <c r="D551" s="99" t="s">
        <v>147</v>
      </c>
      <c r="E551" s="79" t="str">
        <f t="shared" ref="E551:E585" si="28">IF(D551&lt;&gt;"",IF(AND(B551&lt;&gt;"",C551&lt;&gt;""),"","ERR"),"")</f>
        <v/>
      </c>
      <c r="F551" s="86" t="s">
        <v>148</v>
      </c>
      <c r="G551" s="87" t="s">
        <v>149</v>
      </c>
      <c r="H551" s="88" t="s">
        <v>147</v>
      </c>
      <c r="I551" s="89" t="s">
        <v>139</v>
      </c>
      <c r="J551" s="90" t="s">
        <v>137</v>
      </c>
      <c r="K551" s="181" t="s">
        <v>143</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https://www.comunidad.madrid/hospital/elescorial/ciudadanos</v>
      </c>
      <c r="D552" s="99" t="s">
        <v>147</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https://www.comunidad.madrid/hospital/elescorial/profesionales</v>
      </c>
      <c r="D553" s="99" t="s">
        <v>147</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https://www.comunidad.madrid/hospital/elescorial/comunicación</v>
      </c>
      <c r="D554" s="99" t="s">
        <v>147</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https://www.comunidad.madrid/hospital/elescorial/nosotros</v>
      </c>
      <c r="D555" s="99" t="s">
        <v>147</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https://www.comunidad.madrid/hospital/elescorial/buscar?search_api_fulltext=&amp;nombre=</v>
      </c>
      <c r="D556" s="99" t="s">
        <v>147</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https://www.comunidad.madrid/hospital/elescorial/declaracion-accesibilidad</v>
      </c>
      <c r="D557" s="99" t="s">
        <v>147</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https://www.comunidad.madrid/hospital/elescorial/ciudadanos/aviso-legal-privacidad</v>
      </c>
      <c r="D558" s="99" t="s">
        <v>147</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SITIO</v>
      </c>
      <c r="C559" s="85" t="str" cm="1">
        <f t="array" ref="C559">IFERROR(INDEX('03.Muestra'!$F$8:$F$42,SMALL(IF("Página Web"='03.Muestra'!$D$8:$D$42,ROW('03.Muestra'!$F$8:$F$42)-MIN(ROW('03.Muestra'!$D$8:$D$42))+1,""),ROW()-550)),"")</f>
        <v>https://www.comunidad.madrid/hospital/elescorial/sitemap</v>
      </c>
      <c r="D559" s="99" t="s">
        <v>147</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VIDEOTECA</v>
      </c>
      <c r="C560" s="85" t="str" cm="1">
        <f t="array" ref="C560">IFERROR(INDEX('03.Muestra'!$F$8:$F$42,SMALL(IF("Página Web"='03.Muestra'!$D$8:$D$42,ROW('03.Muestra'!$F$8:$F$42)-MIN(ROW('03.Muestra'!$D$8:$D$42))+1,""),ROW()-550)),"")</f>
        <v>https://www.comunidad.madrid/hospital/elescorial/comunicacion/videoteca</v>
      </c>
      <c r="D560" s="99" t="s">
        <v>147</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144</v>
      </c>
      <c r="B588" s="23" t="s">
        <v>136</v>
      </c>
      <c r="C588" s="24" t="s">
        <v>172</v>
      </c>
      <c r="D588" s="25" t="s">
        <v>146</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https://www.comunidad.madrid/hospital/elescorial/</v>
      </c>
      <c r="D589" s="99" t="s">
        <v>147</v>
      </c>
      <c r="E589" s="79" t="str">
        <f t="shared" ref="E589:E623" si="30">IF(D589&lt;&gt;"",IF(AND(B589&lt;&gt;"",C589&lt;&gt;""),"","ERR"),"")</f>
        <v/>
      </c>
      <c r="F589" s="86" t="s">
        <v>148</v>
      </c>
      <c r="G589" s="87" t="s">
        <v>149</v>
      </c>
      <c r="H589" s="88" t="s">
        <v>147</v>
      </c>
      <c r="I589" s="89" t="s">
        <v>139</v>
      </c>
      <c r="J589" s="90" t="s">
        <v>137</v>
      </c>
      <c r="K589" s="181" t="s">
        <v>143</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https://www.comunidad.madrid/hospital/elescorial/ciudadanos</v>
      </c>
      <c r="D590" s="99" t="s">
        <v>147</v>
      </c>
      <c r="E590" s="79" t="str">
        <f t="shared" si="30"/>
        <v/>
      </c>
      <c r="F590" s="91">
        <f ca="1">COUNTIF($D589:INDIRECT("$D" &amp;  SUM(ROW()-1,'03.Muestra'!$D$45)-1),F589)</f>
        <v>0</v>
      </c>
      <c r="G590" s="91">
        <f ca="1">COUNTIF($D589:INDIRECT("$D" &amp;  SUM(ROW()-1,'03.Muestra'!$D$45)-1),G589)</f>
        <v>0</v>
      </c>
      <c r="H590" s="91">
        <f ca="1">COUNTIF($D589:INDIRECT("$D" &amp;  SUM(ROW()-1,'03.Muestra'!$D$45)-1),H589)</f>
        <v>10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https://www.comunidad.madrid/hospital/elescorial/profesionales</v>
      </c>
      <c r="D591" s="99" t="s">
        <v>147</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https://www.comunidad.madrid/hospital/elescorial/comunicación</v>
      </c>
      <c r="D592" s="99" t="s">
        <v>147</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https://www.comunidad.madrid/hospital/elescorial/nosotros</v>
      </c>
      <c r="D593" s="99" t="s">
        <v>147</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https://www.comunidad.madrid/hospital/elescorial/buscar?search_api_fulltext=&amp;nombre=</v>
      </c>
      <c r="D594" s="99" t="s">
        <v>147</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https://www.comunidad.madrid/hospital/elescorial/declaracion-accesibilidad</v>
      </c>
      <c r="D595" s="99" t="s">
        <v>147</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https://www.comunidad.madrid/hospital/elescorial/ciudadanos/aviso-legal-privacidad</v>
      </c>
      <c r="D596" s="99" t="s">
        <v>147</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SITIO</v>
      </c>
      <c r="C597" s="85" t="str" cm="1">
        <f t="array" ref="C597">IFERROR(INDEX('03.Muestra'!$F$8:$F$42,SMALL(IF("Página Web"='03.Muestra'!$D$8:$D$42,ROW('03.Muestra'!$F$8:$F$42)-MIN(ROW('03.Muestra'!$D$8:$D$42))+1,""),ROW()-588)),"")</f>
        <v>https://www.comunidad.madrid/hospital/elescorial/sitemap</v>
      </c>
      <c r="D597" s="99" t="s">
        <v>147</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VIDEOTECA</v>
      </c>
      <c r="C598" s="85" t="str" cm="1">
        <f t="array" ref="C598">IFERROR(INDEX('03.Muestra'!$F$8:$F$42,SMALL(IF("Página Web"='03.Muestra'!$D$8:$D$42,ROW('03.Muestra'!$F$8:$F$42)-MIN(ROW('03.Muestra'!$D$8:$D$42))+1,""),ROW()-588)),"")</f>
        <v>https://www.comunidad.madrid/hospital/elescorial/comunicacion/videoteca</v>
      </c>
      <c r="D598" s="99" t="s">
        <v>147</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144</v>
      </c>
      <c r="B626" s="23" t="s">
        <v>136</v>
      </c>
      <c r="C626" s="24" t="s">
        <v>173</v>
      </c>
      <c r="D626" s="25" t="s">
        <v>146</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https://www.comunidad.madrid/hospital/elescorial/</v>
      </c>
      <c r="D627" s="99" t="s">
        <v>147</v>
      </c>
      <c r="E627" s="79" t="str">
        <f t="shared" ref="E627:E661" si="32">IF(D627&lt;&gt;"",IF(AND(B627&lt;&gt;"",C627&lt;&gt;""),"","ERR"),"")</f>
        <v/>
      </c>
      <c r="F627" s="86" t="s">
        <v>148</v>
      </c>
      <c r="G627" s="87" t="s">
        <v>149</v>
      </c>
      <c r="H627" s="88" t="s">
        <v>147</v>
      </c>
      <c r="I627" s="89" t="s">
        <v>139</v>
      </c>
      <c r="J627" s="90" t="s">
        <v>137</v>
      </c>
      <c r="K627" s="181" t="s">
        <v>143</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https://www.comunidad.madrid/hospital/elescorial/ciudadanos</v>
      </c>
      <c r="D628" s="99" t="s">
        <v>147</v>
      </c>
      <c r="E628" s="79" t="str">
        <f t="shared" si="32"/>
        <v/>
      </c>
      <c r="F628" s="91">
        <f ca="1">COUNTIF($D627:INDIRECT("$D" &amp;  SUM(ROW()-1,'03.Muestra'!$D$45)-1),F627)</f>
        <v>0</v>
      </c>
      <c r="G628" s="91">
        <f ca="1">COUNTIF($D627:INDIRECT("$D" &amp;  SUM(ROW()-1,'03.Muestra'!$D$45)-1),G627)</f>
        <v>0</v>
      </c>
      <c r="H628" s="91">
        <f ca="1">COUNTIF($D627:INDIRECT("$D" &amp;  SUM(ROW()-1,'03.Muestra'!$D$45)-1),H627)</f>
        <v>10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https://www.comunidad.madrid/hospital/elescorial/profesionales</v>
      </c>
      <c r="D629" s="99" t="s">
        <v>147</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https://www.comunidad.madrid/hospital/elescorial/comunicación</v>
      </c>
      <c r="D630" s="99" t="s">
        <v>147</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https://www.comunidad.madrid/hospital/elescorial/nosotros</v>
      </c>
      <c r="D631" s="99" t="s">
        <v>147</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https://www.comunidad.madrid/hospital/elescorial/buscar?search_api_fulltext=&amp;nombre=</v>
      </c>
      <c r="D632" s="99" t="s">
        <v>147</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https://www.comunidad.madrid/hospital/elescorial/declaracion-accesibilidad</v>
      </c>
      <c r="D633" s="99" t="s">
        <v>147</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https://www.comunidad.madrid/hospital/elescorial/ciudadanos/aviso-legal-privacidad</v>
      </c>
      <c r="D634" s="99" t="s">
        <v>147</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SITIO</v>
      </c>
      <c r="C635" s="85" t="str" cm="1">
        <f t="array" ref="C635">IFERROR(INDEX('03.Muestra'!$F$8:$F$42,SMALL(IF("Página Web"='03.Muestra'!$D$8:$D$42,ROW('03.Muestra'!$F$8:$F$42)-MIN(ROW('03.Muestra'!$D$8:$D$42))+1,""),ROW()-626)),"")</f>
        <v>https://www.comunidad.madrid/hospital/elescorial/sitemap</v>
      </c>
      <c r="D635" s="99" t="s">
        <v>147</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VIDEOTECA</v>
      </c>
      <c r="C636" s="85" t="str" cm="1">
        <f t="array" ref="C636">IFERROR(INDEX('03.Muestra'!$F$8:$F$42,SMALL(IF("Página Web"='03.Muestra'!$D$8:$D$42,ROW('03.Muestra'!$F$8:$F$42)-MIN(ROW('03.Muestra'!$D$8:$D$42))+1,""),ROW()-626)),"")</f>
        <v>https://www.comunidad.madrid/hospital/elescorial/comunicacion/videoteca</v>
      </c>
      <c r="D636" s="99" t="s">
        <v>147</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144</v>
      </c>
      <c r="B664" s="23" t="s">
        <v>136</v>
      </c>
      <c r="C664" s="172" t="s">
        <v>174</v>
      </c>
      <c r="D664" s="25" t="s">
        <v>146</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https://www.comunidad.madrid/hospital/elescorial/</v>
      </c>
      <c r="D665" s="99" t="s">
        <v>147</v>
      </c>
      <c r="E665" s="79" t="str">
        <f t="shared" ref="E665:E699" si="34">IF(D665&lt;&gt;"",IF(AND(B665&lt;&gt;"",C665&lt;&gt;""),"","ERR"),"")</f>
        <v/>
      </c>
      <c r="F665" s="86" t="s">
        <v>148</v>
      </c>
      <c r="G665" s="87" t="s">
        <v>149</v>
      </c>
      <c r="H665" s="88" t="s">
        <v>147</v>
      </c>
      <c r="I665" s="89" t="s">
        <v>139</v>
      </c>
      <c r="J665" s="90" t="s">
        <v>137</v>
      </c>
      <c r="K665" s="181" t="s">
        <v>143</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https://www.comunidad.madrid/hospital/elescorial/ciudadanos</v>
      </c>
      <c r="D666" s="99" t="s">
        <v>147</v>
      </c>
      <c r="E666" s="79" t="str">
        <f t="shared" si="34"/>
        <v/>
      </c>
      <c r="F666" s="91">
        <f ca="1">COUNTIF($D665:INDIRECT("$D" &amp;  SUM(ROW()-1,'03.Muestra'!$D$45)-1),F665)</f>
        <v>0</v>
      </c>
      <c r="G666" s="91">
        <f ca="1">COUNTIF($D665:INDIRECT("$D" &amp;  SUM(ROW()-1,'03.Muestra'!$D$45)-1),G665)</f>
        <v>0</v>
      </c>
      <c r="H666" s="91">
        <f ca="1">COUNTIF($D665:INDIRECT("$D" &amp;  SUM(ROW()-1,'03.Muestra'!$D$45)-1),H665)</f>
        <v>10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https://www.comunidad.madrid/hospital/elescorial/profesionales</v>
      </c>
      <c r="D667" s="99" t="s">
        <v>147</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https://www.comunidad.madrid/hospital/elescorial/comunicación</v>
      </c>
      <c r="D668" s="99" t="s">
        <v>147</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https://www.comunidad.madrid/hospital/elescorial/nosotros</v>
      </c>
      <c r="D669" s="99" t="s">
        <v>147</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https://www.comunidad.madrid/hospital/elescorial/buscar?search_api_fulltext=&amp;nombre=</v>
      </c>
      <c r="D670" s="99" t="s">
        <v>147</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https://www.comunidad.madrid/hospital/elescorial/declaracion-accesibilidad</v>
      </c>
      <c r="D671" s="99" t="s">
        <v>147</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https://www.comunidad.madrid/hospital/elescorial/ciudadanos/aviso-legal-privacidad</v>
      </c>
      <c r="D672" s="99" t="s">
        <v>147</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SITIO</v>
      </c>
      <c r="C673" s="85" t="str" cm="1">
        <f t="array" ref="C673">IFERROR(INDEX('03.Muestra'!$F$8:$F$42,SMALL(IF("Página Web"='03.Muestra'!$D$8:$D$42,ROW('03.Muestra'!$F$8:$F$42)-MIN(ROW('03.Muestra'!$D$8:$D$42))+1,""),ROW()-664)),"")</f>
        <v>https://www.comunidad.madrid/hospital/elescorial/sitemap</v>
      </c>
      <c r="D673" s="99" t="s">
        <v>147</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VIDEOTECA</v>
      </c>
      <c r="C674" s="85" t="str" cm="1">
        <f t="array" ref="C674">IFERROR(INDEX('03.Muestra'!$F$8:$F$42,SMALL(IF("Página Web"='03.Muestra'!$D$8:$D$42,ROW('03.Muestra'!$F$8:$F$42)-MIN(ROW('03.Muestra'!$D$8:$D$42))+1,""),ROW()-664)),"")</f>
        <v>https://www.comunidad.madrid/hospital/elescorial/comunicacion/videoteca</v>
      </c>
      <c r="D674" s="99" t="s">
        <v>147</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144</v>
      </c>
      <c r="B702" s="23" t="s">
        <v>136</v>
      </c>
      <c r="C702" s="172" t="s">
        <v>175</v>
      </c>
      <c r="D702" s="25" t="s">
        <v>146</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https://www.comunidad.madrid/hospital/elescorial/</v>
      </c>
      <c r="D703" s="99" t="s">
        <v>147</v>
      </c>
      <c r="E703" s="79" t="str">
        <f t="shared" ref="E703:E737" si="36">IF(D703&lt;&gt;"",IF(AND(B703&lt;&gt;"",C703&lt;&gt;""),"","ERR"),"")</f>
        <v/>
      </c>
      <c r="F703" s="86" t="s">
        <v>148</v>
      </c>
      <c r="G703" s="87" t="s">
        <v>149</v>
      </c>
      <c r="H703" s="88" t="s">
        <v>147</v>
      </c>
      <c r="I703" s="89" t="s">
        <v>139</v>
      </c>
      <c r="J703" s="90" t="s">
        <v>137</v>
      </c>
      <c r="K703" s="181" t="s">
        <v>143</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https://www.comunidad.madrid/hospital/elescorial/ciudadanos</v>
      </c>
      <c r="D704" s="99" t="s">
        <v>147</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https://www.comunidad.madrid/hospital/elescorial/profesionales</v>
      </c>
      <c r="D705" s="99" t="s">
        <v>147</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https://www.comunidad.madrid/hospital/elescorial/comunicación</v>
      </c>
      <c r="D706" s="99" t="s">
        <v>147</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https://www.comunidad.madrid/hospital/elescorial/nosotros</v>
      </c>
      <c r="D707" s="99" t="s">
        <v>147</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https://www.comunidad.madrid/hospital/elescorial/buscar?search_api_fulltext=&amp;nombre=</v>
      </c>
      <c r="D708" s="99" t="s">
        <v>147</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https://www.comunidad.madrid/hospital/elescorial/declaracion-accesibilidad</v>
      </c>
      <c r="D709" s="99" t="s">
        <v>147</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https://www.comunidad.madrid/hospital/elescorial/ciudadanos/aviso-legal-privacidad</v>
      </c>
      <c r="D710" s="99" t="s">
        <v>147</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SITIO</v>
      </c>
      <c r="C711" s="85" t="str" cm="1">
        <f t="array" ref="C711">IFERROR(INDEX('03.Muestra'!$F$8:$F$42,SMALL(IF("Página Web"='03.Muestra'!$D$8:$D$42,ROW('03.Muestra'!$F$8:$F$42)-MIN(ROW('03.Muestra'!$D$8:$D$42))+1,""),ROW()-702)),"")</f>
        <v>https://www.comunidad.madrid/hospital/elescorial/sitemap</v>
      </c>
      <c r="D711" s="99" t="s">
        <v>147</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VIDEOTECA</v>
      </c>
      <c r="C712" s="85" t="str" cm="1">
        <f t="array" ref="C712">IFERROR(INDEX('03.Muestra'!$F$8:$F$42,SMALL(IF("Página Web"='03.Muestra'!$D$8:$D$42,ROW('03.Muestra'!$F$8:$F$42)-MIN(ROW('03.Muestra'!$D$8:$D$42))+1,""),ROW()-702)),"")</f>
        <v>https://www.comunidad.madrid/hospital/elescorial/comunicacion/videoteca</v>
      </c>
      <c r="D712" s="99" t="s">
        <v>147</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8" zoomScale="122" zoomScaleNormal="122" workbookViewId="0">
      <selection activeCell="D61" sqref="D61"/>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176</v>
      </c>
      <c r="C8" s="18"/>
      <c r="D8" s="79"/>
      <c r="E8" s="79"/>
      <c r="F8" s="18"/>
      <c r="G8" s="18"/>
      <c r="H8" s="18"/>
      <c r="I8" s="18"/>
      <c r="J8" s="18"/>
      <c r="K8" s="18"/>
      <c r="L8" s="18"/>
      <c r="M8" s="18"/>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COUNTIF($B$18:$B$4076,B12)</f>
        <v>9</v>
      </c>
      <c r="D12" s="26"/>
      <c r="E12" s="14"/>
      <c r="F12" s="199" t="s">
        <v>137</v>
      </c>
      <c r="G12" s="72">
        <f ca="1">J20+J58+J96+J134+J172+J210+J248+J286+J324</f>
        <v>6</v>
      </c>
      <c r="H12" s="42">
        <f ca="1">IF(($G$15+$K$15)=0,0,G12/($G$15+$K$15))</f>
        <v>6.6666666666666666E-2</v>
      </c>
      <c r="I12" s="26"/>
      <c r="J12" s="183" t="s">
        <v>138</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I20+I58+I96+I134+I172+I210+I248+I286+I324</f>
        <v>0</v>
      </c>
      <c r="H13" s="42">
        <f ca="1">IF(($G$15+$K$15)=0,0,G13/($G$15+$K$15))</f>
        <v>0</v>
      </c>
      <c r="I13" s="26"/>
      <c r="J13" s="183" t="s">
        <v>140</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141</v>
      </c>
      <c r="C14" s="201">
        <f>C12+C13</f>
        <v>9</v>
      </c>
      <c r="D14" s="26"/>
      <c r="E14" s="14"/>
      <c r="F14" s="199" t="s">
        <v>142</v>
      </c>
      <c r="G14" s="72">
        <f ca="1">H20+H58+H96+H134+H172+H210+H248+H286+H324</f>
        <v>84</v>
      </c>
      <c r="H14" s="42">
        <f ca="1">IF(($G$15+$K$15)=0,0,G14/($G$15+$K$15))</f>
        <v>0.93333333333333335</v>
      </c>
      <c r="I14" s="26"/>
      <c r="J14" s="183" t="s">
        <v>143</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90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144</v>
      </c>
      <c r="B18" s="23" t="s">
        <v>136</v>
      </c>
      <c r="C18" s="24" t="s">
        <v>177</v>
      </c>
      <c r="D18" s="25" t="s">
        <v>146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https://www.comunidad.madrid/hospital/elescorial/</v>
      </c>
      <c r="D19" s="99" t="s">
        <v>147</v>
      </c>
      <c r="E19" s="79" t="str">
        <f t="shared" ref="E19:E53" si="0">IF(D19&lt;&gt;"",IF(AND(B19&lt;&gt;"",C19&lt;&gt;""),"","ERR"),"")</f>
        <v/>
      </c>
      <c r="F19" s="86" t="s">
        <v>148</v>
      </c>
      <c r="G19" s="87" t="s">
        <v>149</v>
      </c>
      <c r="H19" s="88" t="s">
        <v>147</v>
      </c>
      <c r="I19" s="89" t="s">
        <v>139</v>
      </c>
      <c r="J19" s="90" t="s">
        <v>137</v>
      </c>
      <c r="K19" s="179" t="s">
        <v>143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https://www.comunidad.madrid/hospital/elescorial/ciudadanos</v>
      </c>
      <c r="D20" s="99" t="s">
        <v>147</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https://www.comunidad.madrid/hospital/elescorial/profesionales</v>
      </c>
      <c r="D21" s="99" t="s">
        <v>147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https://www.comunidad.madrid/hospital/elescorial/comunicación</v>
      </c>
      <c r="D22" s="99" t="s">
        <v>137</v>
      </c>
      <c r="E22" s="79" t="str">
        <f t="shared" si="0"/>
        <v/>
      </c>
      <c r="F22" s="18"/>
      <c r="G22" s="18"/>
      <c r="H22" s="18"/>
      <c r="I22" s="18"/>
      <c r="K22" s="170" t="s">
        <v>148</v>
      </c>
      <c r="L22" s="92" t="s">
        <v>150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https://www.comunidad.madrid/hospital/elescorial/nosotros</v>
      </c>
      <c r="D23" s="99" t="s">
        <v>137</v>
      </c>
      <c r="E23" s="79" t="str">
        <f t="shared" si="0"/>
        <v/>
      </c>
      <c r="F23" s="78"/>
      <c r="G23" s="18"/>
      <c r="H23" s="18"/>
      <c r="I23" s="18"/>
      <c r="K23" s="88" t="s">
        <v>147</v>
      </c>
      <c r="L23" s="92" t="s">
        <v>151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https://www.comunidad.madrid/hospital/elescorial/buscar?search_api_fulltext=&amp;nombre=</v>
      </c>
      <c r="D24" s="99" t="s">
        <v>147</v>
      </c>
      <c r="E24" s="79" t="str">
        <f t="shared" si="0"/>
        <v/>
      </c>
      <c r="F24" s="18"/>
      <c r="G24" s="18"/>
      <c r="H24" s="18"/>
      <c r="I24" s="18"/>
      <c r="K24" s="87" t="s">
        <v>149</v>
      </c>
      <c r="L24" s="92" t="s">
        <v>152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https://www.comunidad.madrid/hospital/elescorial/declaracion-accesibilidad</v>
      </c>
      <c r="D25" s="99" t="s">
        <v>147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https://www.comunidad.madrid/hospital/elescorial/ciudadanos/aviso-legal-privacidad</v>
      </c>
      <c r="D26" s="99" t="s">
        <v>147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https://www.comunidad.madrid/hospital/elescorial/sitemap</v>
      </c>
      <c r="D27" s="99" t="s">
        <v>147</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https://www.comunidad.madrid/hospital/elescorial/comunicacion/videoteca</v>
      </c>
      <c r="D28" s="99" t="s">
        <v>137</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144</v>
      </c>
      <c r="B56" s="23" t="s">
        <v>136</v>
      </c>
      <c r="C56" s="24" t="s">
        <v>178</v>
      </c>
      <c r="D56" s="25" t="s">
        <v>146</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https://www.comunidad.madrid/hospital/elescorial/</v>
      </c>
      <c r="D57" s="99" t="s">
        <v>147</v>
      </c>
      <c r="E57" s="79" t="str">
        <f t="shared" ref="E57:E91" si="2">IF(D57&lt;&gt;"",IF(AND(B57&lt;&gt;"",C57&lt;&gt;""),"","ERR"),"")</f>
        <v/>
      </c>
      <c r="F57" s="86" t="s">
        <v>148</v>
      </c>
      <c r="G57" s="87" t="s">
        <v>149</v>
      </c>
      <c r="H57" s="88" t="s">
        <v>147</v>
      </c>
      <c r="I57" s="89" t="s">
        <v>139</v>
      </c>
      <c r="J57" s="90" t="s">
        <v>137</v>
      </c>
      <c r="K57" s="179" t="s">
        <v>143</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https://www.comunidad.madrid/hospital/elescorial/ciudadanos</v>
      </c>
      <c r="D58" s="99" t="s">
        <v>147</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3</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https://www.comunidad.madrid/hospital/elescorial/profesionales</v>
      </c>
      <c r="D59" s="99" t="s">
        <v>147</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https://www.comunidad.madrid/hospital/elescorial/comunicación</v>
      </c>
      <c r="D60" s="99" t="s">
        <v>137</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https://www.comunidad.madrid/hospital/elescorial/nosotros</v>
      </c>
      <c r="D61" s="99" t="s">
        <v>137</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https://www.comunidad.madrid/hospital/elescorial/buscar?search_api_fulltext=&amp;nombre=</v>
      </c>
      <c r="D62" s="99" t="s">
        <v>147</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https://www.comunidad.madrid/hospital/elescorial/declaracion-accesibilidad</v>
      </c>
      <c r="D63" s="99" t="s">
        <v>147</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https://www.comunidad.madrid/hospital/elescorial/ciudadanos/aviso-legal-privacidad</v>
      </c>
      <c r="D64" s="99" t="s">
        <v>147</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https://www.comunidad.madrid/hospital/elescorial/sitemap</v>
      </c>
      <c r="D65" s="99" t="s">
        <v>147</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https://www.comunidad.madrid/hospital/elescorial/comunicacion/videoteca</v>
      </c>
      <c r="D66" s="99" t="s">
        <v>137</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144</v>
      </c>
      <c r="B94" s="23" t="s">
        <v>136</v>
      </c>
      <c r="C94" s="24" t="s">
        <v>179</v>
      </c>
      <c r="D94" s="25" t="s">
        <v>146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https://www.comunidad.madrid/hospital/elescorial/</v>
      </c>
      <c r="D95" s="99" t="s">
        <v>147</v>
      </c>
      <c r="E95" s="79" t="str">
        <f t="shared" ref="E95:E129" si="4">IF(D95&lt;&gt;"",IF(AND(B95&lt;&gt;"",C95&lt;&gt;""),"","ERR"),"")</f>
        <v/>
      </c>
      <c r="F95" s="86" t="s">
        <v>148</v>
      </c>
      <c r="G95" s="87" t="s">
        <v>149</v>
      </c>
      <c r="H95" s="88" t="s">
        <v>147</v>
      </c>
      <c r="I95" s="89" t="s">
        <v>139</v>
      </c>
      <c r="J95" s="90" t="s">
        <v>137</v>
      </c>
      <c r="K95" s="179" t="s">
        <v>143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https://www.comunidad.madrid/hospital/elescorial/ciudadanos</v>
      </c>
      <c r="D96" s="99" t="s">
        <v>147</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https://www.comunidad.madrid/hospital/elescorial/profesionales</v>
      </c>
      <c r="D97" s="99" t="s">
        <v>147</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https://www.comunidad.madrid/hospital/elescorial/comunicación</v>
      </c>
      <c r="D98" s="99" t="s">
        <v>147</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https://www.comunidad.madrid/hospital/elescorial/nosotros</v>
      </c>
      <c r="D99" s="99" t="s">
        <v>147</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https://www.comunidad.madrid/hospital/elescorial/buscar?search_api_fulltext=&amp;nombre=</v>
      </c>
      <c r="D100" s="99" t="s">
        <v>147</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https://www.comunidad.madrid/hospital/elescorial/declaracion-accesibilidad</v>
      </c>
      <c r="D101" s="99" t="s">
        <v>147</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https://www.comunidad.madrid/hospital/elescorial/ciudadanos/aviso-legal-privacidad</v>
      </c>
      <c r="D102" s="99" t="s">
        <v>147</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https://www.comunidad.madrid/hospital/elescorial/sitemap</v>
      </c>
      <c r="D103" s="99" t="s">
        <v>147</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https://www.comunidad.madrid/hospital/elescorial/comunicacion/videoteca</v>
      </c>
      <c r="D104" s="99" t="s">
        <v>147</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144</v>
      </c>
      <c r="B132" s="23" t="s">
        <v>136</v>
      </c>
      <c r="C132" s="172" t="s">
        <v>180</v>
      </c>
      <c r="D132" s="25" t="s">
        <v>146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https://www.comunidad.madrid/hospital/elescorial/</v>
      </c>
      <c r="D133" s="99" t="s">
        <v>147</v>
      </c>
      <c r="E133" s="79" t="str">
        <f t="shared" ref="E133:E167" si="6">IF(D133&lt;&gt;"",IF(AND(B133&lt;&gt;"",C133&lt;&gt;""),"","ERR"),"")</f>
        <v/>
      </c>
      <c r="F133" s="86" t="s">
        <v>148</v>
      </c>
      <c r="G133" s="87" t="s">
        <v>149</v>
      </c>
      <c r="H133" s="88" t="s">
        <v>147</v>
      </c>
      <c r="I133" s="89" t="s">
        <v>139</v>
      </c>
      <c r="J133" s="90" t="s">
        <v>137</v>
      </c>
      <c r="K133" s="179" t="s">
        <v>143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https://www.comunidad.madrid/hospital/elescorial/ciudadanos</v>
      </c>
      <c r="D134" s="99" t="s">
        <v>147</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https://www.comunidad.madrid/hospital/elescorial/profesionales</v>
      </c>
      <c r="D135" s="99" t="s">
        <v>147</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https://www.comunidad.madrid/hospital/elescorial/comunicación</v>
      </c>
      <c r="D136" s="99" t="s">
        <v>147</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https://www.comunidad.madrid/hospital/elescorial/nosotros</v>
      </c>
      <c r="D137" s="99" t="s">
        <v>147</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https://www.comunidad.madrid/hospital/elescorial/buscar?search_api_fulltext=&amp;nombre=</v>
      </c>
      <c r="D138" s="99" t="s">
        <v>147</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https://www.comunidad.madrid/hospital/elescorial/declaracion-accesibilidad</v>
      </c>
      <c r="D139" s="99" t="s">
        <v>147</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https://www.comunidad.madrid/hospital/elescorial/ciudadanos/aviso-legal-privacidad</v>
      </c>
      <c r="D140" s="99" t="s">
        <v>147</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https://www.comunidad.madrid/hospital/elescorial/sitemap</v>
      </c>
      <c r="D141" s="99" t="s">
        <v>147</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https://www.comunidad.madrid/hospital/elescorial/comunicacion/videoteca</v>
      </c>
      <c r="D142" s="99" t="s">
        <v>147</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144</v>
      </c>
      <c r="B170" s="23" t="s">
        <v>136</v>
      </c>
      <c r="C170" s="172" t="s">
        <v>181</v>
      </c>
      <c r="D170" s="25" t="s">
        <v>146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https://www.comunidad.madrid/hospital/elescorial/</v>
      </c>
      <c r="D171" s="99" t="s">
        <v>147</v>
      </c>
      <c r="E171" s="79" t="str">
        <f t="shared" ref="E171:E205" si="8">IF(D171&lt;&gt;"",IF(AND(B171&lt;&gt;"",C171&lt;&gt;""),"","ERR"),"")</f>
        <v/>
      </c>
      <c r="F171" s="86" t="s">
        <v>148</v>
      </c>
      <c r="G171" s="87" t="s">
        <v>149</v>
      </c>
      <c r="H171" s="88" t="s">
        <v>147</v>
      </c>
      <c r="I171" s="89" t="s">
        <v>139</v>
      </c>
      <c r="J171" s="90" t="s">
        <v>137</v>
      </c>
      <c r="K171" s="179" t="s">
        <v>143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https://www.comunidad.madrid/hospital/elescorial/ciudadanos</v>
      </c>
      <c r="D172" s="99" t="s">
        <v>147</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https://www.comunidad.madrid/hospital/elescorial/profesionales</v>
      </c>
      <c r="D173" s="99" t="s">
        <v>147</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https://www.comunidad.madrid/hospital/elescorial/comunicación</v>
      </c>
      <c r="D174" s="99" t="s">
        <v>147</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https://www.comunidad.madrid/hospital/elescorial/nosotros</v>
      </c>
      <c r="D175" s="99" t="s">
        <v>147</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https://www.comunidad.madrid/hospital/elescorial/buscar?search_api_fulltext=&amp;nombre=</v>
      </c>
      <c r="D176" s="99" t="s">
        <v>147</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https://www.comunidad.madrid/hospital/elescorial/declaracion-accesibilidad</v>
      </c>
      <c r="D177" s="99" t="s">
        <v>147</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https://www.comunidad.madrid/hospital/elescorial/ciudadanos/aviso-legal-privacidad</v>
      </c>
      <c r="D178" s="99" t="s">
        <v>147</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https://www.comunidad.madrid/hospital/elescorial/sitemap</v>
      </c>
      <c r="D179" s="99" t="s">
        <v>147</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https://www.comunidad.madrid/hospital/elescorial/comunicacion/videoteca</v>
      </c>
      <c r="D180" s="99" t="s">
        <v>147</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144</v>
      </c>
      <c r="B208" s="23" t="s">
        <v>136</v>
      </c>
      <c r="C208" s="24" t="s">
        <v>182</v>
      </c>
      <c r="D208" s="25" t="s">
        <v>146</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https://www.comunidad.madrid/hospital/elescorial/</v>
      </c>
      <c r="D209" s="99" t="s">
        <v>147</v>
      </c>
      <c r="E209" s="79" t="str">
        <f t="shared" ref="E209:E243" si="10">IF(D209&lt;&gt;"",IF(AND(B209&lt;&gt;"",C209&lt;&gt;""),"","ERR"),"")</f>
        <v/>
      </c>
      <c r="F209" s="86" t="s">
        <v>148</v>
      </c>
      <c r="G209" s="87" t="s">
        <v>149</v>
      </c>
      <c r="H209" s="88" t="s">
        <v>147</v>
      </c>
      <c r="I209" s="89" t="s">
        <v>139</v>
      </c>
      <c r="J209" s="90" t="s">
        <v>137</v>
      </c>
      <c r="K209" s="179" t="s">
        <v>143</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https://www.comunidad.madrid/hospital/elescorial/ciudadanos</v>
      </c>
      <c r="D210" s="99" t="s">
        <v>147</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https://www.comunidad.madrid/hospital/elescorial/profesionales</v>
      </c>
      <c r="D211" s="99" t="s">
        <v>147</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https://www.comunidad.madrid/hospital/elescorial/comunicación</v>
      </c>
      <c r="D212" s="99" t="s">
        <v>147</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https://www.comunidad.madrid/hospital/elescorial/nosotros</v>
      </c>
      <c r="D213" s="99" t="s">
        <v>147</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https://www.comunidad.madrid/hospital/elescorial/buscar?search_api_fulltext=&amp;nombre=</v>
      </c>
      <c r="D214" s="99" t="s">
        <v>147</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https://www.comunidad.madrid/hospital/elescorial/declaracion-accesibilidad</v>
      </c>
      <c r="D215" s="99" t="s">
        <v>147</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https://www.comunidad.madrid/hospital/elescorial/ciudadanos/aviso-legal-privacidad</v>
      </c>
      <c r="D216" s="99" t="s">
        <v>147</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https://www.comunidad.madrid/hospital/elescorial/sitemap</v>
      </c>
      <c r="D217" s="99" t="s">
        <v>147</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https://www.comunidad.madrid/hospital/elescorial/comunicacion/videoteca</v>
      </c>
      <c r="D218" s="99" t="s">
        <v>147</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144</v>
      </c>
      <c r="B246" s="23" t="s">
        <v>136</v>
      </c>
      <c r="C246" s="24" t="s">
        <v>183</v>
      </c>
      <c r="D246" s="25" t="s">
        <v>146</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https://www.comunidad.madrid/hospital/elescorial/</v>
      </c>
      <c r="D247" s="99" t="s">
        <v>147</v>
      </c>
      <c r="E247" s="79" t="str">
        <f t="shared" ref="E247:E281" si="12">IF(D247&lt;&gt;"",IF(AND(B247&lt;&gt;"",C247&lt;&gt;""),"","ERR"),"")</f>
        <v/>
      </c>
      <c r="F247" s="86" t="s">
        <v>148</v>
      </c>
      <c r="G247" s="87" t="s">
        <v>149</v>
      </c>
      <c r="H247" s="88" t="s">
        <v>147</v>
      </c>
      <c r="I247" s="89" t="s">
        <v>139</v>
      </c>
      <c r="J247" s="90" t="s">
        <v>137</v>
      </c>
      <c r="K247" s="179" t="s">
        <v>143</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https://www.comunidad.madrid/hospital/elescorial/ciudadanos</v>
      </c>
      <c r="D248" s="99" t="s">
        <v>147</v>
      </c>
      <c r="E248" s="79" t="str">
        <f t="shared" si="12"/>
        <v/>
      </c>
      <c r="F248" s="91">
        <f ca="1">COUNTIF($D247:INDIRECT("$D" &amp;  SUM(ROW()-1,'03.Muestra'!$D$45)-1),F247)</f>
        <v>0</v>
      </c>
      <c r="G248" s="91">
        <f ca="1">COUNTIF($D247:INDIRECT("$D" &amp;  SUM(ROW()-1,'03.Muestra'!$D$45)-1),G247)</f>
        <v>0</v>
      </c>
      <c r="H248" s="91">
        <f ca="1">COUNTIF($D247:INDIRECT("$D" &amp;  SUM(ROW()-1,'03.Muestra'!$D$45)-1),H247)</f>
        <v>10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https://www.comunidad.madrid/hospital/elescorial/profesionales</v>
      </c>
      <c r="D249" s="99" t="s">
        <v>147</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https://www.comunidad.madrid/hospital/elescorial/comunicación</v>
      </c>
      <c r="D250" s="99" t="s">
        <v>147</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https://www.comunidad.madrid/hospital/elescorial/nosotros</v>
      </c>
      <c r="D251" s="99" t="s">
        <v>147</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https://www.comunidad.madrid/hospital/elescorial/buscar?search_api_fulltext=&amp;nombre=</v>
      </c>
      <c r="D252" s="99" t="s">
        <v>147</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https://www.comunidad.madrid/hospital/elescorial/declaracion-accesibilidad</v>
      </c>
      <c r="D253" s="99" t="s">
        <v>147</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https://www.comunidad.madrid/hospital/elescorial/ciudadanos/aviso-legal-privacidad</v>
      </c>
      <c r="D254" s="99" t="s">
        <v>147</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https://www.comunidad.madrid/hospital/elescorial/sitemap</v>
      </c>
      <c r="D255" s="99" t="s">
        <v>147</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https://www.comunidad.madrid/hospital/elescorial/comunicacion/videoteca</v>
      </c>
      <c r="D256" s="99" t="s">
        <v>147</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144</v>
      </c>
      <c r="B284" s="23" t="s">
        <v>136</v>
      </c>
      <c r="C284" s="24" t="s">
        <v>184</v>
      </c>
      <c r="D284" s="25" t="s">
        <v>146</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https://www.comunidad.madrid/hospital/elescorial/</v>
      </c>
      <c r="D285" s="99" t="s">
        <v>147</v>
      </c>
      <c r="E285" s="79" t="str">
        <f t="shared" ref="E285:E319" si="14">IF(D285&lt;&gt;"",IF(AND(B285&lt;&gt;"",C285&lt;&gt;""),"","ERR"),"")</f>
        <v/>
      </c>
      <c r="F285" s="86" t="s">
        <v>148</v>
      </c>
      <c r="G285" s="87" t="s">
        <v>149</v>
      </c>
      <c r="H285" s="88" t="s">
        <v>147</v>
      </c>
      <c r="I285" s="89" t="s">
        <v>139</v>
      </c>
      <c r="J285" s="90" t="s">
        <v>137</v>
      </c>
      <c r="K285" s="179" t="s">
        <v>143</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https://www.comunidad.madrid/hospital/elescorial/ciudadanos</v>
      </c>
      <c r="D286" s="99" t="s">
        <v>147</v>
      </c>
      <c r="E286" s="79" t="str">
        <f t="shared" si="14"/>
        <v/>
      </c>
      <c r="F286" s="91">
        <f ca="1">COUNTIF($D285:INDIRECT("$D" &amp;  SUM(ROW()-1,'03.Muestra'!$D$45)-1),F285)</f>
        <v>0</v>
      </c>
      <c r="G286" s="91">
        <f ca="1">COUNTIF($D285:INDIRECT("$D" &amp;  SUM(ROW()-1,'03.Muestra'!$D$45)-1),G285)</f>
        <v>0</v>
      </c>
      <c r="H286" s="91">
        <f ca="1">COUNTIF($D285:INDIRECT("$D" &amp;  SUM(ROW()-1,'03.Muestra'!$D$45)-1),H285)</f>
        <v>10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https://www.comunidad.madrid/hospital/elescorial/profesionales</v>
      </c>
      <c r="D287" s="99" t="s">
        <v>147</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https://www.comunidad.madrid/hospital/elescorial/comunicación</v>
      </c>
      <c r="D288" s="99" t="s">
        <v>147</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https://www.comunidad.madrid/hospital/elescorial/nosotros</v>
      </c>
      <c r="D289" s="99" t="s">
        <v>147</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https://www.comunidad.madrid/hospital/elescorial/buscar?search_api_fulltext=&amp;nombre=</v>
      </c>
      <c r="D290" s="99" t="s">
        <v>147</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https://www.comunidad.madrid/hospital/elescorial/declaracion-accesibilidad</v>
      </c>
      <c r="D291" s="99" t="s">
        <v>147</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https://www.comunidad.madrid/hospital/elescorial/ciudadanos/aviso-legal-privacidad</v>
      </c>
      <c r="D292" s="99" t="s">
        <v>147</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https://www.comunidad.madrid/hospital/elescorial/sitemap</v>
      </c>
      <c r="D293" s="99" t="s">
        <v>147</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https://www.comunidad.madrid/hospital/elescorial/comunicacion/videoteca</v>
      </c>
      <c r="D294" s="99" t="s">
        <v>147</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144</v>
      </c>
      <c r="B322" s="23" t="s">
        <v>136</v>
      </c>
      <c r="C322" s="24" t="s">
        <v>185</v>
      </c>
      <c r="D322" s="25" t="s">
        <v>146</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https://www.comunidad.madrid/hospital/elescorial/</v>
      </c>
      <c r="D323" s="99" t="s">
        <v>147</v>
      </c>
      <c r="E323" s="79" t="str">
        <f t="shared" ref="E323:E357" si="16">IF(D323&lt;&gt;"",IF(AND(B323&lt;&gt;"",C323&lt;&gt;""),"","ERR"),"")</f>
        <v/>
      </c>
      <c r="F323" s="86" t="s">
        <v>148</v>
      </c>
      <c r="G323" s="87" t="s">
        <v>149</v>
      </c>
      <c r="H323" s="88" t="s">
        <v>147</v>
      </c>
      <c r="I323" s="89" t="s">
        <v>139</v>
      </c>
      <c r="J323" s="90" t="s">
        <v>137</v>
      </c>
      <c r="K323" s="179" t="s">
        <v>143</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https://www.comunidad.madrid/hospital/elescorial/ciudadanos</v>
      </c>
      <c r="D324" s="99" t="s">
        <v>147</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https://www.comunidad.madrid/hospital/elescorial/profesionales</v>
      </c>
      <c r="D325" s="99" t="s">
        <v>147</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https://www.comunidad.madrid/hospital/elescorial/comunicación</v>
      </c>
      <c r="D326" s="99" t="s">
        <v>147</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https://www.comunidad.madrid/hospital/elescorial/nosotros</v>
      </c>
      <c r="D327" s="99" t="s">
        <v>147</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https://www.comunidad.madrid/hospital/elescorial/buscar?search_api_fulltext=&amp;nombre=</v>
      </c>
      <c r="D328" s="99" t="s">
        <v>147</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https://www.comunidad.madrid/hospital/elescorial/declaracion-accesibilidad</v>
      </c>
      <c r="D329" s="99" t="s">
        <v>147</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https://www.comunidad.madrid/hospital/elescorial/ciudadanos/aviso-legal-privacidad</v>
      </c>
      <c r="D330" s="99" t="s">
        <v>147</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https://www.comunidad.madrid/hospital/elescorial/sitemap</v>
      </c>
      <c r="D331" s="99" t="s">
        <v>147</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https://www.comunidad.madrid/hospital/elescorial/comunicacion/videoteca</v>
      </c>
      <c r="D332" s="99" t="s">
        <v>147</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318" zoomScale="117" zoomScaleNormal="117" workbookViewId="0">
      <selection activeCell="D323" sqref="D323:D332"/>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6.5429687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186</v>
      </c>
      <c r="C8" s="18"/>
      <c r="D8" s="79"/>
      <c r="E8" s="79"/>
      <c r="F8" s="18"/>
      <c r="G8" s="18"/>
      <c r="H8" s="18"/>
      <c r="I8" s="18"/>
      <c r="J8" s="18"/>
      <c r="K8" s="18"/>
      <c r="L8" s="18"/>
      <c r="M8" s="18"/>
      <c r="N8" s="18"/>
      <c r="O8" s="18"/>
    </row>
    <row r="9" spans="1:64" ht="30" customHeight="1">
      <c r="B9" s="230" t="s">
        <v>130</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COUNTIF($B$18:$B$3962,B12)</f>
        <v>50</v>
      </c>
      <c r="D12" s="26"/>
      <c r="E12" s="14"/>
      <c r="F12" s="199" t="s">
        <v>137</v>
      </c>
      <c r="G12" s="72">
        <f ca="1">J20+J58+J96+J134+J172+J210+J248+J286+J324+J362+J400+J438+J476+J514+J552+J590+J628+J666+J704+J742+J780+J818+J856+J894+J932+J970+J1008+J1046+J1084+J1122+J1160+J1198+J1236+J1274+J1312+J1350+J1388+J1426+J1464+J1502+J1540+J1578+J1616+J1654+J1692+J1730+J1768+J1806+J1844+J1882</f>
        <v>186</v>
      </c>
      <c r="H12" s="42">
        <f ca="1">IF(($G$15+$K$15)=0,0,G12/($G$15+$K$15))</f>
        <v>0.372</v>
      </c>
      <c r="I12" s="26"/>
      <c r="J12" s="183" t="s">
        <v>138</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I20+I58+I96+I134+I172+I210+I248+I286+I324+I362+I400+I438+I476+I514+I552+I590+I628+I666+I704+I742+I780+I818+I856+I894+I932+I970+I1008+I1046+I1084+I1122+I1160+I1198+I1236+I1274+I1312+I1350+I1388+I1426+I1464+I1502+I1540+I1578+I1616+I1654+I1692+I1730+I1768+I1806+I1844+I1882</f>
        <v>118</v>
      </c>
      <c r="H13" s="42">
        <f ca="1">IF(($G$15+$K$15)=0,0,G13/($G$15+$K$15))</f>
        <v>0.23599999999999999</v>
      </c>
      <c r="I13" s="26"/>
      <c r="J13" s="183" t="s">
        <v>140</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141</v>
      </c>
      <c r="C14" s="201">
        <f>C12+C13</f>
        <v>50</v>
      </c>
      <c r="D14" s="26"/>
      <c r="E14" s="14"/>
      <c r="F14" s="199" t="s">
        <v>142</v>
      </c>
      <c r="G14" s="72">
        <f ca="1">H20+H58+H96+H134+H172+H210+H248+H286+H324+H362+H400+H438+H476+H514+H552+H590+H628+H666+H704+H742+H780+H818+H856+H894+H932+H970+H1008+H1046+H1084+H1122+H1160+H1198+H1236+H1274+H1312+H1350+H1388+H1426+H1464+H1502+H1540+H1578+H1616+H1654+H1692+H1730+H1768+H1806+H1844+H1882</f>
        <v>196</v>
      </c>
      <c r="H14" s="42">
        <f ca="1">IF(($G$15+$K$15)=0,0,G14/($G$15+$K$15))</f>
        <v>0.39200000000000002</v>
      </c>
      <c r="I14" s="26"/>
      <c r="J14" s="183" t="s">
        <v>143</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500</v>
      </c>
      <c r="H15" s="204">
        <f ca="1">SUM(H12:H14)</f>
        <v>1</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144</v>
      </c>
      <c r="B18" s="23" t="s">
        <v>136</v>
      </c>
      <c r="C18" s="24" t="s">
        <v>187</v>
      </c>
      <c r="D18" s="25" t="s">
        <v>146</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https://www.comunidad.madrid/hospital/elescorial/</v>
      </c>
      <c r="D19" s="99" t="s">
        <v>137</v>
      </c>
      <c r="E19" s="79" t="str">
        <f t="shared" ref="E19:E53" si="0">IF(D19&lt;&gt;"",IF(AND(B19&lt;&gt;"",C19&lt;&gt;""),"","ERR"),"")</f>
        <v/>
      </c>
      <c r="F19" s="86" t="s">
        <v>148</v>
      </c>
      <c r="G19" s="87" t="s">
        <v>149</v>
      </c>
      <c r="H19" s="88" t="s">
        <v>147</v>
      </c>
      <c r="I19" s="89" t="s">
        <v>139</v>
      </c>
      <c r="J19" s="90" t="s">
        <v>137</v>
      </c>
      <c r="K19" s="179" t="s">
        <v>143</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https://www.comunidad.madrid/hospital/elescorial/ciudadanos</v>
      </c>
      <c r="D20" s="99" t="s">
        <v>137</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https://www.comunidad.madrid/hospital/elescorial/profesionales</v>
      </c>
      <c r="D21" s="99" t="s">
        <v>137</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https://www.comunidad.madrid/hospital/elescorial/comunicación</v>
      </c>
      <c r="D22" s="99" t="s">
        <v>137</v>
      </c>
      <c r="E22" s="79" t="str">
        <f t="shared" si="0"/>
        <v/>
      </c>
      <c r="F22" s="18"/>
      <c r="G22" s="18"/>
      <c r="H22" s="18"/>
      <c r="I22" s="18"/>
      <c r="K22" s="170" t="s">
        <v>148</v>
      </c>
      <c r="L22" s="92" t="s">
        <v>150</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https://www.comunidad.madrid/hospital/elescorial/nosotros</v>
      </c>
      <c r="D23" s="99" t="s">
        <v>137</v>
      </c>
      <c r="E23" s="79" t="str">
        <f t="shared" si="0"/>
        <v/>
      </c>
      <c r="F23" s="78"/>
      <c r="G23" s="18"/>
      <c r="H23" s="18"/>
      <c r="I23" s="18"/>
      <c r="K23" s="88" t="s">
        <v>147</v>
      </c>
      <c r="L23" s="92" t="s">
        <v>151</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https://www.comunidad.madrid/hospital/elescorial/buscar?search_api_fulltext=&amp;nombre=</v>
      </c>
      <c r="D24" s="99" t="s">
        <v>137</v>
      </c>
      <c r="E24" s="79" t="str">
        <f t="shared" si="0"/>
        <v/>
      </c>
      <c r="F24" s="18"/>
      <c r="G24" s="18"/>
      <c r="H24" s="18"/>
      <c r="I24" s="18"/>
      <c r="K24" s="87" t="s">
        <v>149</v>
      </c>
      <c r="L24" s="92" t="s">
        <v>152</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https://www.comunidad.madrid/hospital/elescorial/declaracion-accesibilidad</v>
      </c>
      <c r="D25" s="99" t="s">
        <v>137</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v>
      </c>
      <c r="C26" s="85" t="str" cm="1">
        <f t="array" ref="C26">IFERROR(INDEX('03.Muestra'!$F$8:$F$42,SMALL(IF("Página Web"='03.Muestra'!$D$8:$D$42,ROW('03.Muestra'!$F$8:$F$42)-MIN(ROW('03.Muestra'!$D$8:$D$42))+1,""),ROW()-18)),"")</f>
        <v>https://www.comunidad.madrid/hospital/elescorial/ciudadanos/aviso-legal-privacidad</v>
      </c>
      <c r="D26" s="99" t="s">
        <v>137</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SITIO</v>
      </c>
      <c r="C27" s="85" t="str" cm="1">
        <f t="array" ref="C27">IFERROR(INDEX('03.Muestra'!$F$8:$F$42,SMALL(IF("Página Web"='03.Muestra'!$D$8:$D$42,ROW('03.Muestra'!$F$8:$F$42)-MIN(ROW('03.Muestra'!$D$8:$D$42))+1,""),ROW()-18)),"")</f>
        <v>https://www.comunidad.madrid/hospital/elescorial/sitemap</v>
      </c>
      <c r="D27" s="99" t="s">
        <v>137</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VIDEOTECA</v>
      </c>
      <c r="C28" s="85" t="str" cm="1">
        <f t="array" ref="C28">IFERROR(INDEX('03.Muestra'!$F$8:$F$42,SMALL(IF("Página Web"='03.Muestra'!$D$8:$D$42,ROW('03.Muestra'!$F$8:$F$42)-MIN(ROW('03.Muestra'!$D$8:$D$42))+1,""),ROW()-18)),"")</f>
        <v>https://www.comunidad.madrid/hospital/elescorial/comunicacion/videoteca</v>
      </c>
      <c r="D28" s="99" t="s">
        <v>137</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ref="D29:D53" si="1">IF(AND(B29&lt;&gt;"",C29&lt;&gt;""),"N/T","")</f>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144</v>
      </c>
      <c r="B56" s="23" t="s">
        <v>136</v>
      </c>
      <c r="C56" s="24" t="s">
        <v>188</v>
      </c>
      <c r="D56" s="25" t="s">
        <v>146</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https://www.comunidad.madrid/hospital/elescorial/</v>
      </c>
      <c r="D57" s="99" t="s">
        <v>147</v>
      </c>
      <c r="E57" s="79" t="str">
        <f t="shared" ref="E57:E91" si="2">IF(D57&lt;&gt;"",IF(AND(B57&lt;&gt;"",C57&lt;&gt;""),"","ERR"),"")</f>
        <v/>
      </c>
      <c r="F57" s="86" t="s">
        <v>148</v>
      </c>
      <c r="G57" s="87" t="s">
        <v>149</v>
      </c>
      <c r="H57" s="88" t="s">
        <v>147</v>
      </c>
      <c r="I57" s="89" t="s">
        <v>139</v>
      </c>
      <c r="J57" s="90" t="s">
        <v>137</v>
      </c>
      <c r="K57" s="179" t="s">
        <v>143</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https://www.comunidad.madrid/hospital/elescorial/ciudadanos</v>
      </c>
      <c r="D58" s="99" t="s">
        <v>147</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https://www.comunidad.madrid/hospital/elescorial/profesionales</v>
      </c>
      <c r="D59" s="99" t="s">
        <v>147</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https://www.comunidad.madrid/hospital/elescorial/comunicación</v>
      </c>
      <c r="D60" s="99" t="s">
        <v>147</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https://www.comunidad.madrid/hospital/elescorial/nosotros</v>
      </c>
      <c r="D61" s="99" t="s">
        <v>147</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https://www.comunidad.madrid/hospital/elescorial/buscar?search_api_fulltext=&amp;nombre=</v>
      </c>
      <c r="D62" s="99" t="s">
        <v>147</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https://www.comunidad.madrid/hospital/elescorial/declaracion-accesibilidad</v>
      </c>
      <c r="D63" s="99" t="s">
        <v>147</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v>
      </c>
      <c r="C64" s="85" t="str" cm="1">
        <f t="array" ref="C64">IFERROR(INDEX('03.Muestra'!$F$8:$F$42,SMALL(IF("Página Web"='03.Muestra'!$D$8:$D$42,ROW('03.Muestra'!$F$8:$F$42)-MIN(ROW('03.Muestra'!$D$8:$D$42))+1,""),ROW()-56)),"")</f>
        <v>https://www.comunidad.madrid/hospital/elescorial/ciudadanos/aviso-legal-privacidad</v>
      </c>
      <c r="D64" s="99" t="s">
        <v>147</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SITIO</v>
      </c>
      <c r="C65" s="85" t="str" cm="1">
        <f t="array" ref="C65">IFERROR(INDEX('03.Muestra'!$F$8:$F$42,SMALL(IF("Página Web"='03.Muestra'!$D$8:$D$42,ROW('03.Muestra'!$F$8:$F$42)-MIN(ROW('03.Muestra'!$D$8:$D$42))+1,""),ROW()-56)),"")</f>
        <v>https://www.comunidad.madrid/hospital/elescorial/sitemap</v>
      </c>
      <c r="D65" s="99" t="s">
        <v>147</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VIDEOTECA</v>
      </c>
      <c r="C66" s="85" t="str" cm="1">
        <f t="array" ref="C66">IFERROR(INDEX('03.Muestra'!$F$8:$F$42,SMALL(IF("Página Web"='03.Muestra'!$D$8:$D$42,ROW('03.Muestra'!$F$8:$F$42)-MIN(ROW('03.Muestra'!$D$8:$D$42))+1,""),ROW()-56)),"")</f>
        <v>https://www.comunidad.madrid/hospital/elescorial/comunicacion/videoteca</v>
      </c>
      <c r="D66" s="99" t="s">
        <v>147</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ref="D67:D91" si="3">IF(AND(B67&lt;&gt;"",C67&lt;&gt;""),"N/T","")</f>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144</v>
      </c>
      <c r="B94" s="23" t="s">
        <v>136</v>
      </c>
      <c r="C94" s="24" t="s">
        <v>189</v>
      </c>
      <c r="D94" s="25" t="s">
        <v>146</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https://www.comunidad.madrid/hospital/elescorial/</v>
      </c>
      <c r="D95" s="99" t="s">
        <v>147</v>
      </c>
      <c r="E95" s="79" t="str">
        <f t="shared" ref="E95:E129" si="4">IF(D95&lt;&gt;"",IF(AND(B95&lt;&gt;"",C95&lt;&gt;""),"","ERR"),"")</f>
        <v/>
      </c>
      <c r="F95" s="86" t="s">
        <v>148</v>
      </c>
      <c r="G95" s="87" t="s">
        <v>149</v>
      </c>
      <c r="H95" s="88" t="s">
        <v>147</v>
      </c>
      <c r="I95" s="89" t="s">
        <v>139</v>
      </c>
      <c r="J95" s="90" t="s">
        <v>137</v>
      </c>
      <c r="K95" s="179" t="s">
        <v>143</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https://www.comunidad.madrid/hospital/elescorial/ciudadanos</v>
      </c>
      <c r="D96" s="99" t="s">
        <v>147</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3</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https://www.comunidad.madrid/hospital/elescorial/profesionales</v>
      </c>
      <c r="D97" s="99" t="s">
        <v>147</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https://www.comunidad.madrid/hospital/elescorial/comunicación</v>
      </c>
      <c r="D98" s="99" t="s">
        <v>137</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https://www.comunidad.madrid/hospital/elescorial/nosotros</v>
      </c>
      <c r="D99" s="99" t="s">
        <v>137</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https://www.comunidad.madrid/hospital/elescorial/buscar?search_api_fulltext=&amp;nombre=</v>
      </c>
      <c r="D100" s="99" t="s">
        <v>147</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https://www.comunidad.madrid/hospital/elescorial/declaracion-accesibilidad</v>
      </c>
      <c r="D101" s="99" t="s">
        <v>147</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v>
      </c>
      <c r="C102" s="85" t="str" cm="1">
        <f t="array" ref="C102">IFERROR(INDEX('03.Muestra'!$F$8:$F$42,SMALL(IF("Página Web"='03.Muestra'!$D$8:$D$42,ROW('03.Muestra'!$F$8:$F$42)-MIN(ROW('03.Muestra'!$D$8:$D$42))+1,""),ROW()-94)),"")</f>
        <v>https://www.comunidad.madrid/hospital/elescorial/ciudadanos/aviso-legal-privacidad</v>
      </c>
      <c r="D102" s="99" t="s">
        <v>147</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SITIO</v>
      </c>
      <c r="C103" s="85" t="str" cm="1">
        <f t="array" ref="C103">IFERROR(INDEX('03.Muestra'!$F$8:$F$42,SMALL(IF("Página Web"='03.Muestra'!$D$8:$D$42,ROW('03.Muestra'!$F$8:$F$42)-MIN(ROW('03.Muestra'!$D$8:$D$42))+1,""),ROW()-94)),"")</f>
        <v>https://www.comunidad.madrid/hospital/elescorial/sitemap</v>
      </c>
      <c r="D103" s="99" t="s">
        <v>147</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VIDEOTECA</v>
      </c>
      <c r="C104" s="85" t="str" cm="1">
        <f t="array" ref="C104">IFERROR(INDEX('03.Muestra'!$F$8:$F$42,SMALL(IF("Página Web"='03.Muestra'!$D$8:$D$42,ROW('03.Muestra'!$F$8:$F$42)-MIN(ROW('03.Muestra'!$D$8:$D$42))+1,""),ROW()-94)),"")</f>
        <v>https://www.comunidad.madrid/hospital/elescorial/comunicacion/videoteca</v>
      </c>
      <c r="D104" s="99" t="s">
        <v>137</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ref="D105:D129" si="5">IF(AND(B105&lt;&gt;"",C105&lt;&gt;""),"N/T","")</f>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144</v>
      </c>
      <c r="B132" s="23" t="s">
        <v>136</v>
      </c>
      <c r="C132" s="24" t="s">
        <v>190</v>
      </c>
      <c r="D132" s="25" t="s">
        <v>146</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https://www.comunidad.madrid/hospital/elescorial/</v>
      </c>
      <c r="D133" s="99" t="s">
        <v>147</v>
      </c>
      <c r="E133" s="79" t="str">
        <f t="shared" ref="E133:E167" si="6">IF(D133&lt;&gt;"",IF(AND(B133&lt;&gt;"",C133&lt;&gt;""),"","ERR"),"")</f>
        <v/>
      </c>
      <c r="F133" s="86" t="s">
        <v>148</v>
      </c>
      <c r="G133" s="87" t="s">
        <v>149</v>
      </c>
      <c r="H133" s="88" t="s">
        <v>147</v>
      </c>
      <c r="I133" s="89" t="s">
        <v>139</v>
      </c>
      <c r="J133" s="90" t="s">
        <v>137</v>
      </c>
      <c r="K133" s="179" t="s">
        <v>143</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https://www.comunidad.madrid/hospital/elescorial/ciudadanos</v>
      </c>
      <c r="D134" s="99" t="s">
        <v>147</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https://www.comunidad.madrid/hospital/elescorial/profesionales</v>
      </c>
      <c r="D135" s="99" t="s">
        <v>147</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https://www.comunidad.madrid/hospital/elescorial/comunicación</v>
      </c>
      <c r="D136" s="99" t="s">
        <v>147</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https://www.comunidad.madrid/hospital/elescorial/nosotros</v>
      </c>
      <c r="D137" s="99" t="s">
        <v>147</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https://www.comunidad.madrid/hospital/elescorial/buscar?search_api_fulltext=&amp;nombre=</v>
      </c>
      <c r="D138" s="99" t="s">
        <v>147</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https://www.comunidad.madrid/hospital/elescorial/declaracion-accesibilidad</v>
      </c>
      <c r="D139" s="99" t="s">
        <v>147</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v>
      </c>
      <c r="C140" s="85" t="str" cm="1">
        <f t="array" ref="C140">IFERROR(INDEX('03.Muestra'!$F$8:$F$42,SMALL(IF("Página Web"='03.Muestra'!$D$8:$D$42,ROW('03.Muestra'!$F$8:$F$42)-MIN(ROW('03.Muestra'!$D$8:$D$42))+1,""),ROW()-132)),"")</f>
        <v>https://www.comunidad.madrid/hospital/elescorial/ciudadanos/aviso-legal-privacidad</v>
      </c>
      <c r="D140" s="99" t="s">
        <v>147</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SITIO</v>
      </c>
      <c r="C141" s="85" t="str" cm="1">
        <f t="array" ref="C141">IFERROR(INDEX('03.Muestra'!$F$8:$F$42,SMALL(IF("Página Web"='03.Muestra'!$D$8:$D$42,ROW('03.Muestra'!$F$8:$F$42)-MIN(ROW('03.Muestra'!$D$8:$D$42))+1,""),ROW()-132)),"")</f>
        <v>https://www.comunidad.madrid/hospital/elescorial/sitemap</v>
      </c>
      <c r="D141" s="99" t="s">
        <v>147</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VIDEOTECA</v>
      </c>
      <c r="C142" s="85" t="str" cm="1">
        <f t="array" ref="C142">IFERROR(INDEX('03.Muestra'!$F$8:$F$42,SMALL(IF("Página Web"='03.Muestra'!$D$8:$D$42,ROW('03.Muestra'!$F$8:$F$42)-MIN(ROW('03.Muestra'!$D$8:$D$42))+1,""),ROW()-132)),"")</f>
        <v>https://www.comunidad.madrid/hospital/elescorial/comunicacion/videoteca</v>
      </c>
      <c r="D142" s="99" t="s">
        <v>147</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ref="D143:D167" si="7">IF(AND(B143&lt;&gt;"",C143&lt;&gt;""),"N/T","")</f>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144</v>
      </c>
      <c r="B170" s="23" t="s">
        <v>136</v>
      </c>
      <c r="C170" s="24" t="s">
        <v>191</v>
      </c>
      <c r="D170" s="25" t="s">
        <v>146</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https://www.comunidad.madrid/hospital/elescorial/</v>
      </c>
      <c r="D171" s="99" t="s">
        <v>147</v>
      </c>
      <c r="E171" s="79" t="str">
        <f t="shared" ref="E171:E205" si="8">IF(D171&lt;&gt;"",IF(AND(B171&lt;&gt;"",C171&lt;&gt;""),"","ERR"),"")</f>
        <v/>
      </c>
      <c r="F171" s="86" t="s">
        <v>148</v>
      </c>
      <c r="G171" s="87" t="s">
        <v>149</v>
      </c>
      <c r="H171" s="88" t="s">
        <v>147</v>
      </c>
      <c r="I171" s="89" t="s">
        <v>139</v>
      </c>
      <c r="J171" s="90" t="s">
        <v>137</v>
      </c>
      <c r="K171" s="179" t="s">
        <v>143</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https://www.comunidad.madrid/hospital/elescorial/ciudadanos</v>
      </c>
      <c r="D172" s="99" t="s">
        <v>147</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https://www.comunidad.madrid/hospital/elescorial/profesionales</v>
      </c>
      <c r="D173" s="99" t="s">
        <v>147</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https://www.comunidad.madrid/hospital/elescorial/comunicación</v>
      </c>
      <c r="D174" s="99" t="s">
        <v>147</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https://www.comunidad.madrid/hospital/elescorial/nosotros</v>
      </c>
      <c r="D175" s="99" t="s">
        <v>147</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https://www.comunidad.madrid/hospital/elescorial/buscar?search_api_fulltext=&amp;nombre=</v>
      </c>
      <c r="D176" s="99" t="s">
        <v>147</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https://www.comunidad.madrid/hospital/elescorial/declaracion-accesibilidad</v>
      </c>
      <c r="D177" s="99" t="s">
        <v>147</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v>
      </c>
      <c r="C178" s="85" t="str" cm="1">
        <f t="array" ref="C178">IFERROR(INDEX('03.Muestra'!$F$8:$F$42,SMALL(IF("Página Web"='03.Muestra'!$D$8:$D$42,ROW('03.Muestra'!$F$8:$F$42)-MIN(ROW('03.Muestra'!$D$8:$D$42))+1,""),ROW()-170)),"")</f>
        <v>https://www.comunidad.madrid/hospital/elescorial/ciudadanos/aviso-legal-privacidad</v>
      </c>
      <c r="D178" s="99" t="s">
        <v>147</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SITIO</v>
      </c>
      <c r="C179" s="85" t="str" cm="1">
        <f t="array" ref="C179">IFERROR(INDEX('03.Muestra'!$F$8:$F$42,SMALL(IF("Página Web"='03.Muestra'!$D$8:$D$42,ROW('03.Muestra'!$F$8:$F$42)-MIN(ROW('03.Muestra'!$D$8:$D$42))+1,""),ROW()-170)),"")</f>
        <v>https://www.comunidad.madrid/hospital/elescorial/sitemap</v>
      </c>
      <c r="D179" s="99" t="s">
        <v>147</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VIDEOTECA</v>
      </c>
      <c r="C180" s="85" t="str" cm="1">
        <f t="array" ref="C180">IFERROR(INDEX('03.Muestra'!$F$8:$F$42,SMALL(IF("Página Web"='03.Muestra'!$D$8:$D$42,ROW('03.Muestra'!$F$8:$F$42)-MIN(ROW('03.Muestra'!$D$8:$D$42))+1,""),ROW()-170)),"")</f>
        <v>https://www.comunidad.madrid/hospital/elescorial/comunicacion/videoteca</v>
      </c>
      <c r="D180" s="99" t="s">
        <v>139</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ref="D181:D205" si="9">IF(AND(B181&lt;&gt;"",C181&lt;&gt;""),"N/T","")</f>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144</v>
      </c>
      <c r="B208" s="23" t="s">
        <v>136</v>
      </c>
      <c r="C208" s="24" t="s">
        <v>192</v>
      </c>
      <c r="D208" s="25" t="s">
        <v>146</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https://www.comunidad.madrid/hospital/elescorial/</v>
      </c>
      <c r="D209" s="99" t="s">
        <v>139</v>
      </c>
      <c r="E209" s="79" t="str">
        <f t="shared" ref="E209:E243" si="10">IF(D209&lt;&gt;"",IF(AND(B209&lt;&gt;"",C209&lt;&gt;""),"","ERR"),"")</f>
        <v/>
      </c>
      <c r="F209" s="86" t="s">
        <v>148</v>
      </c>
      <c r="G209" s="87" t="s">
        <v>149</v>
      </c>
      <c r="H209" s="88" t="s">
        <v>147</v>
      </c>
      <c r="I209" s="89" t="s">
        <v>139</v>
      </c>
      <c r="J209" s="90" t="s">
        <v>137</v>
      </c>
      <c r="K209" s="179" t="s">
        <v>143</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https://www.comunidad.madrid/hospital/elescorial/ciudadanos</v>
      </c>
      <c r="D210" s="99" t="s">
        <v>139</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8</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https://www.comunidad.madrid/hospital/elescorial/profesionales</v>
      </c>
      <c r="D211" s="99" t="s">
        <v>139</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https://www.comunidad.madrid/hospital/elescorial/comunicación</v>
      </c>
      <c r="D212" s="99" t="s">
        <v>139</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https://www.comunidad.madrid/hospital/elescorial/nosotros</v>
      </c>
      <c r="D213" s="99" t="s">
        <v>139</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https://www.comunidad.madrid/hospital/elescorial/buscar?search_api_fulltext=&amp;nombre=</v>
      </c>
      <c r="D214" s="99" t="s">
        <v>139</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https://www.comunidad.madrid/hospital/elescorial/declaracion-accesibilidad</v>
      </c>
      <c r="D215" s="99" t="s">
        <v>139</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v>
      </c>
      <c r="C216" s="85" t="str" cm="1">
        <f t="array" ref="C216">IFERROR(INDEX('03.Muestra'!$F$8:$F$42,SMALL(IF("Página Web"='03.Muestra'!$D$8:$D$42,ROW('03.Muestra'!$F$8:$F$42)-MIN(ROW('03.Muestra'!$D$8:$D$42))+1,""),ROW()-208)),"")</f>
        <v>https://www.comunidad.madrid/hospital/elescorial/ciudadanos/aviso-legal-privacidad</v>
      </c>
      <c r="D216" s="99" t="s">
        <v>137</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SITIO</v>
      </c>
      <c r="C217" s="85" t="str" cm="1">
        <f t="array" ref="C217">IFERROR(INDEX('03.Muestra'!$F$8:$F$42,SMALL(IF("Página Web"='03.Muestra'!$D$8:$D$42,ROW('03.Muestra'!$F$8:$F$42)-MIN(ROW('03.Muestra'!$D$8:$D$42))+1,""),ROW()-208)),"")</f>
        <v>https://www.comunidad.madrid/hospital/elescorial/sitemap</v>
      </c>
      <c r="D217" s="99" t="s">
        <v>137</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VIDEOTECA</v>
      </c>
      <c r="C218" s="85" t="str" cm="1">
        <f t="array" ref="C218">IFERROR(INDEX('03.Muestra'!$F$8:$F$42,SMALL(IF("Página Web"='03.Muestra'!$D$8:$D$42,ROW('03.Muestra'!$F$8:$F$42)-MIN(ROW('03.Muestra'!$D$8:$D$42))+1,""),ROW()-208)),"")</f>
        <v>https://www.comunidad.madrid/hospital/elescorial/comunicacion/videoteca</v>
      </c>
      <c r="D218" s="99" t="s">
        <v>139</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ref="D219:D243" si="11">IF(AND(B219&lt;&gt;"",C219&lt;&gt;""),"N/T","")</f>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144</v>
      </c>
      <c r="B246" s="23" t="s">
        <v>136</v>
      </c>
      <c r="C246" s="24" t="s">
        <v>193</v>
      </c>
      <c r="D246" s="25" t="s">
        <v>146</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https://www.comunidad.madrid/hospital/elescorial/</v>
      </c>
      <c r="D247" s="99" t="s">
        <v>139</v>
      </c>
      <c r="E247" s="79" t="str">
        <f t="shared" ref="E247:E281" si="12">IF(D247&lt;&gt;"",IF(AND(B247&lt;&gt;"",C247&lt;&gt;""),"","ERR"),"")</f>
        <v/>
      </c>
      <c r="F247" s="86" t="s">
        <v>148</v>
      </c>
      <c r="G247" s="87" t="s">
        <v>149</v>
      </c>
      <c r="H247" s="88" t="s">
        <v>147</v>
      </c>
      <c r="I247" s="89" t="s">
        <v>139</v>
      </c>
      <c r="J247" s="90" t="s">
        <v>137</v>
      </c>
      <c r="K247" s="179" t="s">
        <v>143</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https://www.comunidad.madrid/hospital/elescorial/ciudadanos</v>
      </c>
      <c r="D248" s="99" t="s">
        <v>139</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https://www.comunidad.madrid/hospital/elescorial/profesionales</v>
      </c>
      <c r="D249" s="99" t="s">
        <v>139</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https://www.comunidad.madrid/hospital/elescorial/comunicación</v>
      </c>
      <c r="D250" s="99" t="s">
        <v>139</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https://www.comunidad.madrid/hospital/elescorial/nosotros</v>
      </c>
      <c r="D251" s="99" t="s">
        <v>139</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https://www.comunidad.madrid/hospital/elescorial/buscar?search_api_fulltext=&amp;nombre=</v>
      </c>
      <c r="D252" s="99" t="s">
        <v>139</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https://www.comunidad.madrid/hospital/elescorial/declaracion-accesibilidad</v>
      </c>
      <c r="D253" s="99" t="s">
        <v>139</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v>
      </c>
      <c r="C254" s="85" t="str" cm="1">
        <f t="array" ref="C254">IFERROR(INDEX('03.Muestra'!$F$8:$F$42,SMALL(IF("Página Web"='03.Muestra'!$D$8:$D$42,ROW('03.Muestra'!$F$8:$F$42)-MIN(ROW('03.Muestra'!$D$8:$D$42))+1,""),ROW()-246)),"")</f>
        <v>https://www.comunidad.madrid/hospital/elescorial/ciudadanos/aviso-legal-privacidad</v>
      </c>
      <c r="D254" s="99" t="s">
        <v>139</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SITIO</v>
      </c>
      <c r="C255" s="85" t="str" cm="1">
        <f t="array" ref="C255">IFERROR(INDEX('03.Muestra'!$F$8:$F$42,SMALL(IF("Página Web"='03.Muestra'!$D$8:$D$42,ROW('03.Muestra'!$F$8:$F$42)-MIN(ROW('03.Muestra'!$D$8:$D$42))+1,""),ROW()-246)),"")</f>
        <v>https://www.comunidad.madrid/hospital/elescorial/sitemap</v>
      </c>
      <c r="D255" s="99" t="s">
        <v>139</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VIDEOTECA</v>
      </c>
      <c r="C256" s="85" t="str" cm="1">
        <f t="array" ref="C256">IFERROR(INDEX('03.Muestra'!$F$8:$F$42,SMALL(IF("Página Web"='03.Muestra'!$D$8:$D$42,ROW('03.Muestra'!$F$8:$F$42)-MIN(ROW('03.Muestra'!$D$8:$D$42))+1,""),ROW()-246)),"")</f>
        <v>https://www.comunidad.madrid/hospital/elescorial/comunicacion/videoteca</v>
      </c>
      <c r="D256" s="99" t="s">
        <v>139</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ref="D257:D281" si="13">IF(AND(B257&lt;&gt;"",C257&lt;&gt;""),"N/T","")</f>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144</v>
      </c>
      <c r="B284" s="23" t="s">
        <v>136</v>
      </c>
      <c r="C284" s="24" t="s">
        <v>194</v>
      </c>
      <c r="D284" s="25" t="s">
        <v>146</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https://www.comunidad.madrid/hospital/elescorial/</v>
      </c>
      <c r="D285" s="99" t="s">
        <v>139</v>
      </c>
      <c r="E285" s="79" t="str">
        <f t="shared" ref="E285:E319" si="14">IF(D285&lt;&gt;"",IF(AND(B285&lt;&gt;"",C285&lt;&gt;""),"","ERR"),"")</f>
        <v/>
      </c>
      <c r="F285" s="86" t="s">
        <v>148</v>
      </c>
      <c r="G285" s="87" t="s">
        <v>149</v>
      </c>
      <c r="H285" s="88" t="s">
        <v>147</v>
      </c>
      <c r="I285" s="89" t="s">
        <v>139</v>
      </c>
      <c r="J285" s="90" t="s">
        <v>137</v>
      </c>
      <c r="K285" s="179" t="s">
        <v>143</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https://www.comunidad.madrid/hospital/elescorial/ciudadanos</v>
      </c>
      <c r="D286" s="99" t="s">
        <v>139</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https://www.comunidad.madrid/hospital/elescorial/profesionales</v>
      </c>
      <c r="D287" s="99" t="s">
        <v>139</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https://www.comunidad.madrid/hospital/elescorial/comunicación</v>
      </c>
      <c r="D288" s="99" t="s">
        <v>139</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https://www.comunidad.madrid/hospital/elescorial/nosotros</v>
      </c>
      <c r="D289" s="99" t="s">
        <v>139</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https://www.comunidad.madrid/hospital/elescorial/buscar?search_api_fulltext=&amp;nombre=</v>
      </c>
      <c r="D290" s="99" t="s">
        <v>139</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https://www.comunidad.madrid/hospital/elescorial/declaracion-accesibilidad</v>
      </c>
      <c r="D291" s="99" t="s">
        <v>139</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v>
      </c>
      <c r="C292" s="85" t="str" cm="1">
        <f t="array" ref="C292">IFERROR(INDEX('03.Muestra'!$F$8:$F$42,SMALL(IF("Página Web"='03.Muestra'!$D$8:$D$42,ROW('03.Muestra'!$F$8:$F$42)-MIN(ROW('03.Muestra'!$D$8:$D$42))+1,""),ROW()-284)),"")</f>
        <v>https://www.comunidad.madrid/hospital/elescorial/ciudadanos/aviso-legal-privacidad</v>
      </c>
      <c r="D292" s="99" t="s">
        <v>139</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SITIO</v>
      </c>
      <c r="C293" s="85" t="str" cm="1">
        <f t="array" ref="C293">IFERROR(INDEX('03.Muestra'!$F$8:$F$42,SMALL(IF("Página Web"='03.Muestra'!$D$8:$D$42,ROW('03.Muestra'!$F$8:$F$42)-MIN(ROW('03.Muestra'!$D$8:$D$42))+1,""),ROW()-284)),"")</f>
        <v>https://www.comunidad.madrid/hospital/elescorial/sitemap</v>
      </c>
      <c r="D293" s="99" t="s">
        <v>139</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VIDEOTECA</v>
      </c>
      <c r="C294" s="85" t="str" cm="1">
        <f t="array" ref="C294">IFERROR(INDEX('03.Muestra'!$F$8:$F$42,SMALL(IF("Página Web"='03.Muestra'!$D$8:$D$42,ROW('03.Muestra'!$F$8:$F$42)-MIN(ROW('03.Muestra'!$D$8:$D$42))+1,""),ROW()-284)),"")</f>
        <v>https://www.comunidad.madrid/hospital/elescorial/comunicacion/videoteca</v>
      </c>
      <c r="D294" s="99" t="s">
        <v>139</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ref="D295:D319" si="15">IF(AND(B295&lt;&gt;"",C295&lt;&gt;""),"N/T","")</f>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144</v>
      </c>
      <c r="B322" s="23" t="s">
        <v>136</v>
      </c>
      <c r="C322" s="24" t="s">
        <v>195</v>
      </c>
      <c r="D322" s="25" t="s">
        <v>146</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https://www.comunidad.madrid/hospital/elescorial/</v>
      </c>
      <c r="D323" s="99" t="s">
        <v>139</v>
      </c>
      <c r="E323" s="79" t="str">
        <f t="shared" ref="E323:E357" si="16">IF(D323&lt;&gt;"",IF(AND(B323&lt;&gt;"",C323&lt;&gt;""),"","ERR"),"")</f>
        <v/>
      </c>
      <c r="F323" s="86" t="s">
        <v>148</v>
      </c>
      <c r="G323" s="87" t="s">
        <v>149</v>
      </c>
      <c r="H323" s="88" t="s">
        <v>147</v>
      </c>
      <c r="I323" s="89" t="s">
        <v>139</v>
      </c>
      <c r="J323" s="90" t="s">
        <v>137</v>
      </c>
      <c r="K323" s="179" t="s">
        <v>143</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https://www.comunidad.madrid/hospital/elescorial/ciudadanos</v>
      </c>
      <c r="D324" s="99" t="s">
        <v>139</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10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https://www.comunidad.madrid/hospital/elescorial/profesionales</v>
      </c>
      <c r="D325" s="99" t="s">
        <v>139</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https://www.comunidad.madrid/hospital/elescorial/comunicación</v>
      </c>
      <c r="D326" s="99" t="s">
        <v>139</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https://www.comunidad.madrid/hospital/elescorial/nosotros</v>
      </c>
      <c r="D327" s="99" t="s">
        <v>139</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https://www.comunidad.madrid/hospital/elescorial/buscar?search_api_fulltext=&amp;nombre=</v>
      </c>
      <c r="D328" s="99" t="s">
        <v>139</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https://www.comunidad.madrid/hospital/elescorial/declaracion-accesibilidad</v>
      </c>
      <c r="D329" s="99" t="s">
        <v>139</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v>
      </c>
      <c r="C330" s="85" t="str" cm="1">
        <f t="array" ref="C330">IFERROR(INDEX('03.Muestra'!$F$8:$F$42,SMALL(IF("Página Web"='03.Muestra'!$D$8:$D$42,ROW('03.Muestra'!$F$8:$F$42)-MIN(ROW('03.Muestra'!$D$8:$D$42))+1,""),ROW()-322)),"")</f>
        <v>https://www.comunidad.madrid/hospital/elescorial/ciudadanos/aviso-legal-privacidad</v>
      </c>
      <c r="D330" s="99" t="s">
        <v>139</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SITIO</v>
      </c>
      <c r="C331" s="85" t="str" cm="1">
        <f t="array" ref="C331">IFERROR(INDEX('03.Muestra'!$F$8:$F$42,SMALL(IF("Página Web"='03.Muestra'!$D$8:$D$42,ROW('03.Muestra'!$F$8:$F$42)-MIN(ROW('03.Muestra'!$D$8:$D$42))+1,""),ROW()-322)),"")</f>
        <v>https://www.comunidad.madrid/hospital/elescorial/sitemap</v>
      </c>
      <c r="D331" s="99" t="s">
        <v>139</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VIDEOTECA</v>
      </c>
      <c r="C332" s="85" t="str" cm="1">
        <f t="array" ref="C332">IFERROR(INDEX('03.Muestra'!$F$8:$F$42,SMALL(IF("Página Web"='03.Muestra'!$D$8:$D$42,ROW('03.Muestra'!$F$8:$F$42)-MIN(ROW('03.Muestra'!$D$8:$D$42))+1,""),ROW()-322)),"")</f>
        <v>https://www.comunidad.madrid/hospital/elescorial/comunicacion/videoteca</v>
      </c>
      <c r="D332" s="99" t="s">
        <v>139</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ref="D333:D357" si="17">IF(AND(B333&lt;&gt;"",C333&lt;&gt;""),"N/T","")</f>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144</v>
      </c>
      <c r="B360" s="23" t="s">
        <v>136</v>
      </c>
      <c r="C360" s="24" t="s">
        <v>196</v>
      </c>
      <c r="D360" s="25" t="s">
        <v>146</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https://www.comunidad.madrid/hospital/elescorial/</v>
      </c>
      <c r="D361" s="99" t="s">
        <v>147</v>
      </c>
      <c r="E361" s="79" t="str">
        <f t="shared" ref="E361:E395" si="18">IF(D361&lt;&gt;"",IF(AND(B361&lt;&gt;"",C361&lt;&gt;""),"","ERR"),"")</f>
        <v/>
      </c>
      <c r="F361" s="86" t="s">
        <v>148</v>
      </c>
      <c r="G361" s="87" t="s">
        <v>149</v>
      </c>
      <c r="H361" s="88" t="s">
        <v>147</v>
      </c>
      <c r="I361" s="89" t="s">
        <v>139</v>
      </c>
      <c r="J361" s="90" t="s">
        <v>137</v>
      </c>
      <c r="K361" s="179" t="s">
        <v>143</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https://www.comunidad.madrid/hospital/elescorial/ciudadanos</v>
      </c>
      <c r="D362" s="99" t="s">
        <v>147</v>
      </c>
      <c r="E362" s="79" t="str">
        <f t="shared" si="18"/>
        <v/>
      </c>
      <c r="F362" s="91">
        <f ca="1">COUNTIF($D361:INDIRECT("$D" &amp;  SUM(ROW()-1,'03.Muestra'!$D$45)-1),F361)</f>
        <v>0</v>
      </c>
      <c r="G362" s="91">
        <f ca="1">COUNTIF($D361:INDIRECT("$D" &amp;  SUM(ROW()-1,'03.Muestra'!$D$45)-1),G361)</f>
        <v>0</v>
      </c>
      <c r="H362" s="91">
        <f ca="1">COUNTIF($D361:INDIRECT("$D" &amp;  SUM(ROW()-1,'03.Muestra'!$D$45)-1),H361)</f>
        <v>10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https://www.comunidad.madrid/hospital/elescorial/profesionales</v>
      </c>
      <c r="D363" s="99" t="s">
        <v>147</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https://www.comunidad.madrid/hospital/elescorial/comunicación</v>
      </c>
      <c r="D364" s="99" t="s">
        <v>147</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https://www.comunidad.madrid/hospital/elescorial/nosotros</v>
      </c>
      <c r="D365" s="99" t="s">
        <v>147</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https://www.comunidad.madrid/hospital/elescorial/buscar?search_api_fulltext=&amp;nombre=</v>
      </c>
      <c r="D366" s="99" t="s">
        <v>147</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https://www.comunidad.madrid/hospital/elescorial/declaracion-accesibilidad</v>
      </c>
      <c r="D367" s="99" t="s">
        <v>147</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v>
      </c>
      <c r="C368" s="85" t="str" cm="1">
        <f t="array" ref="C368">IFERROR(INDEX('03.Muestra'!$F$8:$F$42,SMALL(IF("Página Web"='03.Muestra'!$D$8:$D$42,ROW('03.Muestra'!$F$8:$F$42)-MIN(ROW('03.Muestra'!$D$8:$D$42))+1,""),ROW()-360)),"")</f>
        <v>https://www.comunidad.madrid/hospital/elescorial/ciudadanos/aviso-legal-privacidad</v>
      </c>
      <c r="D368" s="99" t="s">
        <v>147</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SITIO</v>
      </c>
      <c r="C369" s="85" t="str" cm="1">
        <f t="array" ref="C369">IFERROR(INDEX('03.Muestra'!$F$8:$F$42,SMALL(IF("Página Web"='03.Muestra'!$D$8:$D$42,ROW('03.Muestra'!$F$8:$F$42)-MIN(ROW('03.Muestra'!$D$8:$D$42))+1,""),ROW()-360)),"")</f>
        <v>https://www.comunidad.madrid/hospital/elescorial/sitemap</v>
      </c>
      <c r="D369" s="99" t="s">
        <v>147</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VIDEOTECA</v>
      </c>
      <c r="C370" s="85" t="str" cm="1">
        <f t="array" ref="C370">IFERROR(INDEX('03.Muestra'!$F$8:$F$42,SMALL(IF("Página Web"='03.Muestra'!$D$8:$D$42,ROW('03.Muestra'!$F$8:$F$42)-MIN(ROW('03.Muestra'!$D$8:$D$42))+1,""),ROW()-360)),"")</f>
        <v>https://www.comunidad.madrid/hospital/elescorial/comunicacion/videoteca</v>
      </c>
      <c r="D370" s="99" t="s">
        <v>147</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ref="D371:D395" si="19">IF(AND(B371&lt;&gt;"",C371&lt;&gt;""),"N/T","")</f>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144</v>
      </c>
      <c r="B398" s="23" t="s">
        <v>136</v>
      </c>
      <c r="C398" s="24" t="s">
        <v>197</v>
      </c>
      <c r="D398" s="25" t="s">
        <v>146</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https://www.comunidad.madrid/hospital/elescorial/</v>
      </c>
      <c r="D399" s="99" t="s">
        <v>147</v>
      </c>
      <c r="E399" s="79" t="str">
        <f t="shared" ref="E399:E433" si="20">IF(D399&lt;&gt;"",IF(AND(B399&lt;&gt;"",C399&lt;&gt;""),"","ERR"),"")</f>
        <v/>
      </c>
      <c r="F399" s="86" t="s">
        <v>148</v>
      </c>
      <c r="G399" s="87" t="s">
        <v>149</v>
      </c>
      <c r="H399" s="88" t="s">
        <v>147</v>
      </c>
      <c r="I399" s="89" t="s">
        <v>139</v>
      </c>
      <c r="J399" s="90" t="s">
        <v>137</v>
      </c>
      <c r="K399" s="179" t="s">
        <v>143</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https://www.comunidad.madrid/hospital/elescorial/ciudadanos</v>
      </c>
      <c r="D400" s="99" t="s">
        <v>147</v>
      </c>
      <c r="E400" s="79" t="str">
        <f t="shared" si="20"/>
        <v/>
      </c>
      <c r="F400" s="91">
        <f ca="1">COUNTIF($D399:INDIRECT("$D" &amp;  SUM(ROW()-1,'03.Muestra'!$D$45)-1),F399)</f>
        <v>0</v>
      </c>
      <c r="G400" s="91">
        <f ca="1">COUNTIF($D399:INDIRECT("$D" &amp;  SUM(ROW()-1,'03.Muestra'!$D$45)-1),G399)</f>
        <v>0</v>
      </c>
      <c r="H400" s="91">
        <f ca="1">COUNTIF($D399:INDIRECT("$D" &amp;  SUM(ROW()-1,'03.Muestra'!$D$45)-1),H399)</f>
        <v>10</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https://www.comunidad.madrid/hospital/elescorial/profesionales</v>
      </c>
      <c r="D401" s="99" t="s">
        <v>147</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https://www.comunidad.madrid/hospital/elescorial/comunicación</v>
      </c>
      <c r="D402" s="99" t="s">
        <v>147</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https://www.comunidad.madrid/hospital/elescorial/nosotros</v>
      </c>
      <c r="D403" s="99" t="s">
        <v>147</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https://www.comunidad.madrid/hospital/elescorial/buscar?search_api_fulltext=&amp;nombre=</v>
      </c>
      <c r="D404" s="99" t="s">
        <v>147</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https://www.comunidad.madrid/hospital/elescorial/declaracion-accesibilidad</v>
      </c>
      <c r="D405" s="99" t="s">
        <v>147</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v>
      </c>
      <c r="C406" s="85" t="str" cm="1">
        <f t="array" ref="C406">IFERROR(INDEX('03.Muestra'!$F$8:$F$42,SMALL(IF("Página Web"='03.Muestra'!$D$8:$D$42,ROW('03.Muestra'!$F$8:$F$42)-MIN(ROW('03.Muestra'!$D$8:$D$42))+1,""),ROW()-398)),"")</f>
        <v>https://www.comunidad.madrid/hospital/elescorial/ciudadanos/aviso-legal-privacidad</v>
      </c>
      <c r="D406" s="99" t="s">
        <v>147</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SITIO</v>
      </c>
      <c r="C407" s="85" t="str" cm="1">
        <f t="array" ref="C407">IFERROR(INDEX('03.Muestra'!$F$8:$F$42,SMALL(IF("Página Web"='03.Muestra'!$D$8:$D$42,ROW('03.Muestra'!$F$8:$F$42)-MIN(ROW('03.Muestra'!$D$8:$D$42))+1,""),ROW()-398)),"")</f>
        <v>https://www.comunidad.madrid/hospital/elescorial/sitemap</v>
      </c>
      <c r="D407" s="99" t="s">
        <v>147</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VIDEOTECA</v>
      </c>
      <c r="C408" s="85" t="str" cm="1">
        <f t="array" ref="C408">IFERROR(INDEX('03.Muestra'!$F$8:$F$42,SMALL(IF("Página Web"='03.Muestra'!$D$8:$D$42,ROW('03.Muestra'!$F$8:$F$42)-MIN(ROW('03.Muestra'!$D$8:$D$42))+1,""),ROW()-398)),"")</f>
        <v>https://www.comunidad.madrid/hospital/elescorial/comunicacion/videoteca</v>
      </c>
      <c r="D408" s="99" t="s">
        <v>147</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ref="D409:D433" si="21">IF(AND(B409&lt;&gt;"",C409&lt;&gt;""),"N/T","")</f>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144</v>
      </c>
      <c r="B436" s="23" t="s">
        <v>136</v>
      </c>
      <c r="C436" s="24" t="s">
        <v>198</v>
      </c>
      <c r="D436" s="25" t="s">
        <v>146</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https://www.comunidad.madrid/hospital/elescorial/</v>
      </c>
      <c r="D437" s="99" t="s">
        <v>147</v>
      </c>
      <c r="E437" s="79" t="str">
        <f t="shared" ref="E437:E471" si="22">IF(D437&lt;&gt;"",IF(AND(B437&lt;&gt;"",C437&lt;&gt;""),"","ERR"),"")</f>
        <v/>
      </c>
      <c r="F437" s="86" t="s">
        <v>148</v>
      </c>
      <c r="G437" s="87" t="s">
        <v>149</v>
      </c>
      <c r="H437" s="88" t="s">
        <v>147</v>
      </c>
      <c r="I437" s="89" t="s">
        <v>139</v>
      </c>
      <c r="J437" s="90" t="s">
        <v>137</v>
      </c>
      <c r="K437" s="179" t="s">
        <v>143</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https://www.comunidad.madrid/hospital/elescorial/ciudadanos</v>
      </c>
      <c r="D438" s="99" t="s">
        <v>147</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https://www.comunidad.madrid/hospital/elescorial/profesionales</v>
      </c>
      <c r="D439" s="99" t="s">
        <v>147</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https://www.comunidad.madrid/hospital/elescorial/comunicación</v>
      </c>
      <c r="D440" s="99" t="s">
        <v>147</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https://www.comunidad.madrid/hospital/elescorial/nosotros</v>
      </c>
      <c r="D441" s="99" t="s">
        <v>147</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https://www.comunidad.madrid/hospital/elescorial/buscar?search_api_fulltext=&amp;nombre=</v>
      </c>
      <c r="D442" s="99" t="s">
        <v>147</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https://www.comunidad.madrid/hospital/elescorial/declaracion-accesibilidad</v>
      </c>
      <c r="D443" s="99" t="s">
        <v>147</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v>
      </c>
      <c r="C444" s="85" t="str" cm="1">
        <f t="array" ref="C444">IFERROR(INDEX('03.Muestra'!$F$8:$F$42,SMALL(IF("Página Web"='03.Muestra'!$D$8:$D$42,ROW('03.Muestra'!$F$8:$F$42)-MIN(ROW('03.Muestra'!$D$8:$D$42))+1,""),ROW()-436)),"")</f>
        <v>https://www.comunidad.madrid/hospital/elescorial/ciudadanos/aviso-legal-privacidad</v>
      </c>
      <c r="D444" s="99" t="s">
        <v>147</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SITIO</v>
      </c>
      <c r="C445" s="85" t="str" cm="1">
        <f t="array" ref="C445">IFERROR(INDEX('03.Muestra'!$F$8:$F$42,SMALL(IF("Página Web"='03.Muestra'!$D$8:$D$42,ROW('03.Muestra'!$F$8:$F$42)-MIN(ROW('03.Muestra'!$D$8:$D$42))+1,""),ROW()-436)),"")</f>
        <v>https://www.comunidad.madrid/hospital/elescorial/sitemap</v>
      </c>
      <c r="D445" s="99" t="s">
        <v>147</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VIDEOTECA</v>
      </c>
      <c r="C446" s="85" t="str" cm="1">
        <f t="array" ref="C446">IFERROR(INDEX('03.Muestra'!$F$8:$F$42,SMALL(IF("Página Web"='03.Muestra'!$D$8:$D$42,ROW('03.Muestra'!$F$8:$F$42)-MIN(ROW('03.Muestra'!$D$8:$D$42))+1,""),ROW()-436)),"")</f>
        <v>https://www.comunidad.madrid/hospital/elescorial/comunicacion/videoteca</v>
      </c>
      <c r="D446" s="99" t="s">
        <v>147</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ref="D447:D471" si="23">IF(AND(B447&lt;&gt;"",C447&lt;&gt;""),"N/T","")</f>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144</v>
      </c>
      <c r="B474" s="23" t="s">
        <v>136</v>
      </c>
      <c r="C474" s="24" t="s">
        <v>199</v>
      </c>
      <c r="D474" s="25" t="s">
        <v>146</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https://www.comunidad.madrid/hospital/elescorial/</v>
      </c>
      <c r="D475" s="99" t="s">
        <v>137</v>
      </c>
      <c r="E475" s="79" t="str">
        <f t="shared" ref="E475:E509" si="24">IF(D475&lt;&gt;"",IF(AND(B475&lt;&gt;"",C475&lt;&gt;""),"","ERR"),"")</f>
        <v/>
      </c>
      <c r="F475" s="86" t="s">
        <v>148</v>
      </c>
      <c r="G475" s="87" t="s">
        <v>149</v>
      </c>
      <c r="H475" s="88" t="s">
        <v>147</v>
      </c>
      <c r="I475" s="89" t="s">
        <v>139</v>
      </c>
      <c r="J475" s="90" t="s">
        <v>137</v>
      </c>
      <c r="K475" s="179" t="s">
        <v>143</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https://www.comunidad.madrid/hospital/elescorial/ciudadanos</v>
      </c>
      <c r="D476" s="99" t="s">
        <v>137</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https://www.comunidad.madrid/hospital/elescorial/profesionales</v>
      </c>
      <c r="D477" s="99" t="s">
        <v>137</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https://www.comunidad.madrid/hospital/elescorial/comunicación</v>
      </c>
      <c r="D478" s="99" t="s">
        <v>137</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https://www.comunidad.madrid/hospital/elescorial/nosotros</v>
      </c>
      <c r="D479" s="99" t="s">
        <v>137</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https://www.comunidad.madrid/hospital/elescorial/buscar?search_api_fulltext=&amp;nombre=</v>
      </c>
      <c r="D480" s="99" t="s">
        <v>139</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https://www.comunidad.madrid/hospital/elescorial/declaracion-accesibilidad</v>
      </c>
      <c r="D481" s="99" t="s">
        <v>137</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v>
      </c>
      <c r="C482" s="85" t="str" cm="1">
        <f t="array" ref="C482">IFERROR(INDEX('03.Muestra'!$F$8:$F$42,SMALL(IF("Página Web"='03.Muestra'!$D$8:$D$42,ROW('03.Muestra'!$F$8:$F$42)-MIN(ROW('03.Muestra'!$D$8:$D$42))+1,""),ROW()-474)),"")</f>
        <v>https://www.comunidad.madrid/hospital/elescorial/ciudadanos/aviso-legal-privacidad</v>
      </c>
      <c r="D482" s="99" t="s">
        <v>137</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SITIO</v>
      </c>
      <c r="C483" s="85" t="str" cm="1">
        <f t="array" ref="C483">IFERROR(INDEX('03.Muestra'!$F$8:$F$42,SMALL(IF("Página Web"='03.Muestra'!$D$8:$D$42,ROW('03.Muestra'!$F$8:$F$42)-MIN(ROW('03.Muestra'!$D$8:$D$42))+1,""),ROW()-474)),"")</f>
        <v>https://www.comunidad.madrid/hospital/elescorial/sitemap</v>
      </c>
      <c r="D483" s="99" t="s">
        <v>137</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VIDEOTECA</v>
      </c>
      <c r="C484" s="85" t="str" cm="1">
        <f t="array" ref="C484">IFERROR(INDEX('03.Muestra'!$F$8:$F$42,SMALL(IF("Página Web"='03.Muestra'!$D$8:$D$42,ROW('03.Muestra'!$F$8:$F$42)-MIN(ROW('03.Muestra'!$D$8:$D$42))+1,""),ROW()-474)),"")</f>
        <v>https://www.comunidad.madrid/hospital/elescorial/comunicacion/videoteca</v>
      </c>
      <c r="D484" s="99" t="s">
        <v>137</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ref="D485:D509" si="25">IF(AND(B485&lt;&gt;"",C485&lt;&gt;""),"N/T","")</f>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144</v>
      </c>
      <c r="B512" s="23" t="s">
        <v>136</v>
      </c>
      <c r="C512" s="24" t="s">
        <v>200</v>
      </c>
      <c r="D512" s="25" t="s">
        <v>146</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https://www.comunidad.madrid/hospital/elescorial/</v>
      </c>
      <c r="D513" s="99" t="s">
        <v>139</v>
      </c>
      <c r="E513" s="79" t="str">
        <f t="shared" ref="E513:E547" si="26">IF(D513&lt;&gt;"",IF(AND(B513&lt;&gt;"",C513&lt;&gt;""),"","ERR"),"")</f>
        <v/>
      </c>
      <c r="F513" s="86" t="s">
        <v>148</v>
      </c>
      <c r="G513" s="87" t="s">
        <v>149</v>
      </c>
      <c r="H513" s="88" t="s">
        <v>147</v>
      </c>
      <c r="I513" s="89" t="s">
        <v>139</v>
      </c>
      <c r="J513" s="90" t="s">
        <v>137</v>
      </c>
      <c r="K513" s="179" t="s">
        <v>143</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https://www.comunidad.madrid/hospital/elescorial/ciudadanos</v>
      </c>
      <c r="D514" s="99" t="s">
        <v>139</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https://www.comunidad.madrid/hospital/elescorial/profesionales</v>
      </c>
      <c r="D515" s="99" t="s">
        <v>139</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https://www.comunidad.madrid/hospital/elescorial/comunicación</v>
      </c>
      <c r="D516" s="99" t="s">
        <v>139</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https://www.comunidad.madrid/hospital/elescorial/nosotros</v>
      </c>
      <c r="D517" s="99" t="s">
        <v>139</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https://www.comunidad.madrid/hospital/elescorial/buscar?search_api_fulltext=&amp;nombre=</v>
      </c>
      <c r="D518" s="99" t="s">
        <v>139</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https://www.comunidad.madrid/hospital/elescorial/declaracion-accesibilidad</v>
      </c>
      <c r="D519" s="99" t="s">
        <v>139</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v>
      </c>
      <c r="C520" s="85" t="str" cm="1">
        <f t="array" ref="C520">IFERROR(INDEX('03.Muestra'!$F$8:$F$42,SMALL(IF("Página Web"='03.Muestra'!$D$8:$D$42,ROW('03.Muestra'!$F$8:$F$42)-MIN(ROW('03.Muestra'!$D$8:$D$42))+1,""),ROW()-512)),"")</f>
        <v>https://www.comunidad.madrid/hospital/elescorial/ciudadanos/aviso-legal-privacidad</v>
      </c>
      <c r="D520" s="99" t="s">
        <v>139</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SITIO</v>
      </c>
      <c r="C521" s="85" t="str" cm="1">
        <f t="array" ref="C521">IFERROR(INDEX('03.Muestra'!$F$8:$F$42,SMALL(IF("Página Web"='03.Muestra'!$D$8:$D$42,ROW('03.Muestra'!$F$8:$F$42)-MIN(ROW('03.Muestra'!$D$8:$D$42))+1,""),ROW()-512)),"")</f>
        <v>https://www.comunidad.madrid/hospital/elescorial/sitemap</v>
      </c>
      <c r="D521" s="99" t="s">
        <v>139</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VIDEOTECA</v>
      </c>
      <c r="C522" s="85" t="str" cm="1">
        <f t="array" ref="C522">IFERROR(INDEX('03.Muestra'!$F$8:$F$42,SMALL(IF("Página Web"='03.Muestra'!$D$8:$D$42,ROW('03.Muestra'!$F$8:$F$42)-MIN(ROW('03.Muestra'!$D$8:$D$42))+1,""),ROW()-512)),"")</f>
        <v>https://www.comunidad.madrid/hospital/elescorial/comunicacion/videoteca</v>
      </c>
      <c r="D522" s="99" t="s">
        <v>139</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ref="D523:D547" si="27">IF(AND(B523&lt;&gt;"",C523&lt;&gt;""),"N/T","")</f>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144</v>
      </c>
      <c r="B550" s="23" t="s">
        <v>136</v>
      </c>
      <c r="C550" s="24" t="s">
        <v>201</v>
      </c>
      <c r="D550" s="25" t="s">
        <v>146</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https://www.comunidad.madrid/hospital/elescorial/</v>
      </c>
      <c r="D551" s="99" t="s">
        <v>147</v>
      </c>
      <c r="E551" s="79" t="str">
        <f t="shared" ref="E551:E585" si="28">IF(D551&lt;&gt;"",IF(AND(B551&lt;&gt;"",C551&lt;&gt;""),"","ERR"),"")</f>
        <v/>
      </c>
      <c r="F551" s="86" t="s">
        <v>148</v>
      </c>
      <c r="G551" s="87" t="s">
        <v>149</v>
      </c>
      <c r="H551" s="88" t="s">
        <v>147</v>
      </c>
      <c r="I551" s="89" t="s">
        <v>139</v>
      </c>
      <c r="J551" s="90" t="s">
        <v>137</v>
      </c>
      <c r="K551" s="179" t="s">
        <v>143</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https://www.comunidad.madrid/hospital/elescorial/ciudadanos</v>
      </c>
      <c r="D552" s="99" t="s">
        <v>147</v>
      </c>
      <c r="E552" s="79" t="str">
        <f t="shared" si="28"/>
        <v/>
      </c>
      <c r="F552" s="91">
        <f ca="1">COUNTIF($D551:INDIRECT("$D" &amp;  SUM(ROW()-1,'03.Muestra'!$D$45)-1),F551)</f>
        <v>0</v>
      </c>
      <c r="G552" s="91">
        <f ca="1">COUNTIF($D551:INDIRECT("$D" &amp;  SUM(ROW()-1,'03.Muestra'!$D$45)-1),G551)</f>
        <v>0</v>
      </c>
      <c r="H552" s="91">
        <f ca="1">COUNTIF($D551:INDIRECT("$D" &amp;  SUM(ROW()-1,'03.Muestra'!$D$45)-1),H551)</f>
        <v>10</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https://www.comunidad.madrid/hospital/elescorial/profesionales</v>
      </c>
      <c r="D553" s="99" t="s">
        <v>147</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https://www.comunidad.madrid/hospital/elescorial/comunicación</v>
      </c>
      <c r="D554" s="99" t="s">
        <v>147</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https://www.comunidad.madrid/hospital/elescorial/nosotros</v>
      </c>
      <c r="D555" s="99" t="s">
        <v>147</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https://www.comunidad.madrid/hospital/elescorial/buscar?search_api_fulltext=&amp;nombre=</v>
      </c>
      <c r="D556" s="99" t="s">
        <v>147</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https://www.comunidad.madrid/hospital/elescorial/declaracion-accesibilidad</v>
      </c>
      <c r="D557" s="99" t="s">
        <v>147</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v>
      </c>
      <c r="C558" s="85" t="str" cm="1">
        <f t="array" ref="C558">IFERROR(INDEX('03.Muestra'!$F$8:$F$42,SMALL(IF("Página Web"='03.Muestra'!$D$8:$D$42,ROW('03.Muestra'!$F$8:$F$42)-MIN(ROW('03.Muestra'!$D$8:$D$42))+1,""),ROW()-550)),"")</f>
        <v>https://www.comunidad.madrid/hospital/elescorial/ciudadanos/aviso-legal-privacidad</v>
      </c>
      <c r="D558" s="99" t="s">
        <v>147</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SITIO</v>
      </c>
      <c r="C559" s="85" t="str" cm="1">
        <f t="array" ref="C559">IFERROR(INDEX('03.Muestra'!$F$8:$F$42,SMALL(IF("Página Web"='03.Muestra'!$D$8:$D$42,ROW('03.Muestra'!$F$8:$F$42)-MIN(ROW('03.Muestra'!$D$8:$D$42))+1,""),ROW()-550)),"")</f>
        <v>https://www.comunidad.madrid/hospital/elescorial/sitemap</v>
      </c>
      <c r="D559" s="99" t="s">
        <v>147</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VIDEOTECA</v>
      </c>
      <c r="C560" s="85" t="str" cm="1">
        <f t="array" ref="C560">IFERROR(INDEX('03.Muestra'!$F$8:$F$42,SMALL(IF("Página Web"='03.Muestra'!$D$8:$D$42,ROW('03.Muestra'!$F$8:$F$42)-MIN(ROW('03.Muestra'!$D$8:$D$42))+1,""),ROW()-550)),"")</f>
        <v>https://www.comunidad.madrid/hospital/elescorial/comunicacion/videoteca</v>
      </c>
      <c r="D560" s="99" t="s">
        <v>147</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ref="D561:D585" si="29">IF(AND(B561&lt;&gt;"",C561&lt;&gt;""),"N/T","")</f>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144</v>
      </c>
      <c r="B588" s="23" t="s">
        <v>136</v>
      </c>
      <c r="C588" s="24" t="s">
        <v>202</v>
      </c>
      <c r="D588" s="25" t="s">
        <v>146</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https://www.comunidad.madrid/hospital/elescorial/</v>
      </c>
      <c r="D589" s="99" t="s">
        <v>139</v>
      </c>
      <c r="E589" s="79" t="str">
        <f t="shared" ref="E589:E623" si="30">IF(D589&lt;&gt;"",IF(AND(B589&lt;&gt;"",C589&lt;&gt;""),"","ERR"),"")</f>
        <v/>
      </c>
      <c r="F589" s="86" t="s">
        <v>148</v>
      </c>
      <c r="G589" s="87" t="s">
        <v>149</v>
      </c>
      <c r="H589" s="88" t="s">
        <v>147</v>
      </c>
      <c r="I589" s="89" t="s">
        <v>139</v>
      </c>
      <c r="J589" s="90" t="s">
        <v>137</v>
      </c>
      <c r="K589" s="179" t="s">
        <v>143</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https://www.comunidad.madrid/hospital/elescorial/ciudadanos</v>
      </c>
      <c r="D590" s="99" t="s">
        <v>139</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https://www.comunidad.madrid/hospital/elescorial/profesionales</v>
      </c>
      <c r="D591" s="99" t="s">
        <v>139</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https://www.comunidad.madrid/hospital/elescorial/comunicación</v>
      </c>
      <c r="D592" s="99" t="s">
        <v>139</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https://www.comunidad.madrid/hospital/elescorial/nosotros</v>
      </c>
      <c r="D593" s="99" t="s">
        <v>139</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https://www.comunidad.madrid/hospital/elescorial/buscar?search_api_fulltext=&amp;nombre=</v>
      </c>
      <c r="D594" s="99" t="s">
        <v>139</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https://www.comunidad.madrid/hospital/elescorial/declaracion-accesibilidad</v>
      </c>
      <c r="D595" s="99" t="s">
        <v>139</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v>
      </c>
      <c r="C596" s="85" t="str" cm="1">
        <f t="array" ref="C596">IFERROR(INDEX('03.Muestra'!$F$8:$F$42,SMALL(IF("Página Web"='03.Muestra'!$D$8:$D$42,ROW('03.Muestra'!$F$8:$F$42)-MIN(ROW('03.Muestra'!$D$8:$D$42))+1,""),ROW()-588)),"")</f>
        <v>https://www.comunidad.madrid/hospital/elescorial/ciudadanos/aviso-legal-privacidad</v>
      </c>
      <c r="D596" s="99" t="s">
        <v>139</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SITIO</v>
      </c>
      <c r="C597" s="85" t="str" cm="1">
        <f t="array" ref="C597">IFERROR(INDEX('03.Muestra'!$F$8:$F$42,SMALL(IF("Página Web"='03.Muestra'!$D$8:$D$42,ROW('03.Muestra'!$F$8:$F$42)-MIN(ROW('03.Muestra'!$D$8:$D$42))+1,""),ROW()-588)),"")</f>
        <v>https://www.comunidad.madrid/hospital/elescorial/sitemap</v>
      </c>
      <c r="D597" s="99" t="s">
        <v>139</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VIDEOTECA</v>
      </c>
      <c r="C598" s="85" t="str" cm="1">
        <f t="array" ref="C598">IFERROR(INDEX('03.Muestra'!$F$8:$F$42,SMALL(IF("Página Web"='03.Muestra'!$D$8:$D$42,ROW('03.Muestra'!$F$8:$F$42)-MIN(ROW('03.Muestra'!$D$8:$D$42))+1,""),ROW()-588)),"")</f>
        <v>https://www.comunidad.madrid/hospital/elescorial/comunicacion/videoteca</v>
      </c>
      <c r="D598" s="99" t="s">
        <v>139</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ref="D599:D623" si="31">IF(AND(B599&lt;&gt;"",C599&lt;&gt;""),"N/T","")</f>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144</v>
      </c>
      <c r="B626" s="23" t="s">
        <v>136</v>
      </c>
      <c r="C626" s="24" t="s">
        <v>203</v>
      </c>
      <c r="D626" s="25" t="s">
        <v>146</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https://www.comunidad.madrid/hospital/elescorial/</v>
      </c>
      <c r="D627" s="99" t="s">
        <v>139</v>
      </c>
      <c r="E627" s="79" t="str">
        <f t="shared" ref="E627:E661" si="32">IF(D627&lt;&gt;"",IF(AND(B627&lt;&gt;"",C627&lt;&gt;""),"","ERR"),"")</f>
        <v/>
      </c>
      <c r="F627" s="86" t="s">
        <v>148</v>
      </c>
      <c r="G627" s="87" t="s">
        <v>149</v>
      </c>
      <c r="H627" s="88" t="s">
        <v>147</v>
      </c>
      <c r="I627" s="89" t="s">
        <v>139</v>
      </c>
      <c r="J627" s="90" t="s">
        <v>137</v>
      </c>
      <c r="K627" s="179" t="s">
        <v>143</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https://www.comunidad.madrid/hospital/elescorial/ciudadanos</v>
      </c>
      <c r="D628" s="99" t="s">
        <v>139</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https://www.comunidad.madrid/hospital/elescorial/profesionales</v>
      </c>
      <c r="D629" s="99" t="s">
        <v>139</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https://www.comunidad.madrid/hospital/elescorial/comunicación</v>
      </c>
      <c r="D630" s="99" t="s">
        <v>139</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https://www.comunidad.madrid/hospital/elescorial/nosotros</v>
      </c>
      <c r="D631" s="99" t="s">
        <v>139</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https://www.comunidad.madrid/hospital/elescorial/buscar?search_api_fulltext=&amp;nombre=</v>
      </c>
      <c r="D632" s="99" t="s">
        <v>139</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https://www.comunidad.madrid/hospital/elescorial/declaracion-accesibilidad</v>
      </c>
      <c r="D633" s="99" t="s">
        <v>139</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v>
      </c>
      <c r="C634" s="85" t="str" cm="1">
        <f t="array" ref="C634">IFERROR(INDEX('03.Muestra'!$F$8:$F$42,SMALL(IF("Página Web"='03.Muestra'!$D$8:$D$42,ROW('03.Muestra'!$F$8:$F$42)-MIN(ROW('03.Muestra'!$D$8:$D$42))+1,""),ROW()-626)),"")</f>
        <v>https://www.comunidad.madrid/hospital/elescorial/ciudadanos/aviso-legal-privacidad</v>
      </c>
      <c r="D634" s="99" t="s">
        <v>139</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SITIO</v>
      </c>
      <c r="C635" s="85" t="str" cm="1">
        <f t="array" ref="C635">IFERROR(INDEX('03.Muestra'!$F$8:$F$42,SMALL(IF("Página Web"='03.Muestra'!$D$8:$D$42,ROW('03.Muestra'!$F$8:$F$42)-MIN(ROW('03.Muestra'!$D$8:$D$42))+1,""),ROW()-626)),"")</f>
        <v>https://www.comunidad.madrid/hospital/elescorial/sitemap</v>
      </c>
      <c r="D635" s="99" t="s">
        <v>139</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VIDEOTECA</v>
      </c>
      <c r="C636" s="85" t="str" cm="1">
        <f t="array" ref="C636">IFERROR(INDEX('03.Muestra'!$F$8:$F$42,SMALL(IF("Página Web"='03.Muestra'!$D$8:$D$42,ROW('03.Muestra'!$F$8:$F$42)-MIN(ROW('03.Muestra'!$D$8:$D$42))+1,""),ROW()-626)),"")</f>
        <v>https://www.comunidad.madrid/hospital/elescorial/comunicacion/videoteca</v>
      </c>
      <c r="D636" s="99" t="s">
        <v>139</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ref="D637:D661" si="33">IF(AND(B637&lt;&gt;"",C637&lt;&gt;""),"N/T","")</f>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144</v>
      </c>
      <c r="B664" s="23" t="s">
        <v>136</v>
      </c>
      <c r="C664" s="24" t="s">
        <v>204</v>
      </c>
      <c r="D664" s="25" t="s">
        <v>146</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https://www.comunidad.madrid/hospital/elescorial/</v>
      </c>
      <c r="D665" s="99" t="s">
        <v>137</v>
      </c>
      <c r="E665" s="79" t="str">
        <f t="shared" ref="E665:E699" si="34">IF(D665&lt;&gt;"",IF(AND(B665&lt;&gt;"",C665&lt;&gt;""),"","ERR"),"")</f>
        <v/>
      </c>
      <c r="F665" s="86" t="s">
        <v>148</v>
      </c>
      <c r="G665" s="87" t="s">
        <v>149</v>
      </c>
      <c r="H665" s="88" t="s">
        <v>147</v>
      </c>
      <c r="I665" s="89" t="s">
        <v>139</v>
      </c>
      <c r="J665" s="90" t="s">
        <v>137</v>
      </c>
      <c r="K665" s="179" t="s">
        <v>143</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https://www.comunidad.madrid/hospital/elescorial/ciudadanos</v>
      </c>
      <c r="D666" s="99" t="s">
        <v>137</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https://www.comunidad.madrid/hospital/elescorial/profesionales</v>
      </c>
      <c r="D667" s="99" t="s">
        <v>137</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https://www.comunidad.madrid/hospital/elescorial/comunicación</v>
      </c>
      <c r="D668" s="99" t="s">
        <v>137</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https://www.comunidad.madrid/hospital/elescorial/nosotros</v>
      </c>
      <c r="D669" s="99" t="s">
        <v>137</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https://www.comunidad.madrid/hospital/elescorial/buscar?search_api_fulltext=&amp;nombre=</v>
      </c>
      <c r="D670" s="99" t="s">
        <v>137</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https://www.comunidad.madrid/hospital/elescorial/declaracion-accesibilidad</v>
      </c>
      <c r="D671" s="99" t="s">
        <v>137</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v>
      </c>
      <c r="C672" s="85" t="str" cm="1">
        <f t="array" ref="C672">IFERROR(INDEX('03.Muestra'!$F$8:$F$42,SMALL(IF("Página Web"='03.Muestra'!$D$8:$D$42,ROW('03.Muestra'!$F$8:$F$42)-MIN(ROW('03.Muestra'!$D$8:$D$42))+1,""),ROW()-664)),"")</f>
        <v>https://www.comunidad.madrid/hospital/elescorial/ciudadanos/aviso-legal-privacidad</v>
      </c>
      <c r="D672" s="99" t="s">
        <v>137</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SITIO</v>
      </c>
      <c r="C673" s="85" t="str" cm="1">
        <f t="array" ref="C673">IFERROR(INDEX('03.Muestra'!$F$8:$F$42,SMALL(IF("Página Web"='03.Muestra'!$D$8:$D$42,ROW('03.Muestra'!$F$8:$F$42)-MIN(ROW('03.Muestra'!$D$8:$D$42))+1,""),ROW()-664)),"")</f>
        <v>https://www.comunidad.madrid/hospital/elescorial/sitemap</v>
      </c>
      <c r="D673" s="99" t="s">
        <v>137</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VIDEOTECA</v>
      </c>
      <c r="C674" s="85" t="str" cm="1">
        <f t="array" ref="C674">IFERROR(INDEX('03.Muestra'!$F$8:$F$42,SMALL(IF("Página Web"='03.Muestra'!$D$8:$D$42,ROW('03.Muestra'!$F$8:$F$42)-MIN(ROW('03.Muestra'!$D$8:$D$42))+1,""),ROW()-664)),"")</f>
        <v>https://www.comunidad.madrid/hospital/elescorial/comunicacion/videoteca</v>
      </c>
      <c r="D674" s="99" t="s">
        <v>137</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ref="D675:D699" si="35">IF(AND(B675&lt;&gt;"",C675&lt;&gt;""),"N/T","")</f>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144</v>
      </c>
      <c r="B702" s="23" t="s">
        <v>136</v>
      </c>
      <c r="C702" s="24" t="s">
        <v>205</v>
      </c>
      <c r="D702" s="25" t="s">
        <v>146</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https://www.comunidad.madrid/hospital/elescorial/</v>
      </c>
      <c r="D703" s="99" t="s">
        <v>147</v>
      </c>
      <c r="E703" s="79" t="str">
        <f t="shared" ref="E703:E737" si="36">IF(D703&lt;&gt;"",IF(AND(B703&lt;&gt;"",C703&lt;&gt;""),"","ERR"),"")</f>
        <v/>
      </c>
      <c r="F703" s="86" t="s">
        <v>148</v>
      </c>
      <c r="G703" s="87" t="s">
        <v>149</v>
      </c>
      <c r="H703" s="88" t="s">
        <v>147</v>
      </c>
      <c r="I703" s="89" t="s">
        <v>139</v>
      </c>
      <c r="J703" s="90" t="s">
        <v>137</v>
      </c>
      <c r="K703" s="179" t="s">
        <v>143</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https://www.comunidad.madrid/hospital/elescorial/ciudadanos</v>
      </c>
      <c r="D704" s="99" t="s">
        <v>147</v>
      </c>
      <c r="E704" s="79" t="str">
        <f t="shared" si="36"/>
        <v/>
      </c>
      <c r="F704" s="91">
        <f ca="1">COUNTIF($D703:INDIRECT("$D" &amp;  SUM(ROW()-1,'03.Muestra'!$D$45)-1),F703)</f>
        <v>0</v>
      </c>
      <c r="G704" s="91">
        <f ca="1">COUNTIF($D703:INDIRECT("$D" &amp;  SUM(ROW()-1,'03.Muestra'!$D$45)-1),G703)</f>
        <v>0</v>
      </c>
      <c r="H704" s="91">
        <f ca="1">COUNTIF($D703:INDIRECT("$D" &amp;  SUM(ROW()-1,'03.Muestra'!$D$45)-1),H703)</f>
        <v>10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https://www.comunidad.madrid/hospital/elescorial/profesionales</v>
      </c>
      <c r="D705" s="99" t="s">
        <v>147</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https://www.comunidad.madrid/hospital/elescorial/comunicación</v>
      </c>
      <c r="D706" s="99" t="s">
        <v>147</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https://www.comunidad.madrid/hospital/elescorial/nosotros</v>
      </c>
      <c r="D707" s="99" t="s">
        <v>147</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https://www.comunidad.madrid/hospital/elescorial/buscar?search_api_fulltext=&amp;nombre=</v>
      </c>
      <c r="D708" s="99" t="s">
        <v>147</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https://www.comunidad.madrid/hospital/elescorial/declaracion-accesibilidad</v>
      </c>
      <c r="D709" s="99" t="s">
        <v>147</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v>
      </c>
      <c r="C710" s="85" t="str" cm="1">
        <f t="array" ref="C710">IFERROR(INDEX('03.Muestra'!$F$8:$F$42,SMALL(IF("Página Web"='03.Muestra'!$D$8:$D$42,ROW('03.Muestra'!$F$8:$F$42)-MIN(ROW('03.Muestra'!$D$8:$D$42))+1,""),ROW()-702)),"")</f>
        <v>https://www.comunidad.madrid/hospital/elescorial/ciudadanos/aviso-legal-privacidad</v>
      </c>
      <c r="D710" s="99" t="s">
        <v>147</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SITIO</v>
      </c>
      <c r="C711" s="85" t="str" cm="1">
        <f t="array" ref="C711">IFERROR(INDEX('03.Muestra'!$F$8:$F$42,SMALL(IF("Página Web"='03.Muestra'!$D$8:$D$42,ROW('03.Muestra'!$F$8:$F$42)-MIN(ROW('03.Muestra'!$D$8:$D$42))+1,""),ROW()-702)),"")</f>
        <v>https://www.comunidad.madrid/hospital/elescorial/sitemap</v>
      </c>
      <c r="D711" s="99" t="s">
        <v>147</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VIDEOTECA</v>
      </c>
      <c r="C712" s="85" t="str" cm="1">
        <f t="array" ref="C712">IFERROR(INDEX('03.Muestra'!$F$8:$F$42,SMALL(IF("Página Web"='03.Muestra'!$D$8:$D$42,ROW('03.Muestra'!$F$8:$F$42)-MIN(ROW('03.Muestra'!$D$8:$D$42))+1,""),ROW()-702)),"")</f>
        <v>https://www.comunidad.madrid/hospital/elescorial/comunicacion/videoteca</v>
      </c>
      <c r="D712" s="99" t="s">
        <v>147</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ref="D713:D737" si="37">IF(AND(B713&lt;&gt;"",C713&lt;&gt;""),"N/T","")</f>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144</v>
      </c>
      <c r="B740" s="23" t="s">
        <v>136</v>
      </c>
      <c r="C740" s="24" t="s">
        <v>206</v>
      </c>
      <c r="D740" s="25" t="s">
        <v>146</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https://www.comunidad.madrid/hospital/elescorial/</v>
      </c>
      <c r="D741" s="99" t="s">
        <v>139</v>
      </c>
      <c r="E741" s="79" t="str">
        <f t="shared" ref="E741:E775" si="38">IF(D741&lt;&gt;"",IF(AND(B741&lt;&gt;"",C741&lt;&gt;""),"","ERR"),"")</f>
        <v/>
      </c>
      <c r="F741" s="86" t="s">
        <v>148</v>
      </c>
      <c r="G741" s="87" t="s">
        <v>149</v>
      </c>
      <c r="H741" s="88" t="s">
        <v>147</v>
      </c>
      <c r="I741" s="89" t="s">
        <v>139</v>
      </c>
      <c r="J741" s="90" t="s">
        <v>137</v>
      </c>
      <c r="K741" s="179" t="s">
        <v>143</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https://www.comunidad.madrid/hospital/elescorial/ciudadanos</v>
      </c>
      <c r="D742" s="99" t="s">
        <v>139</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https://www.comunidad.madrid/hospital/elescorial/profesionales</v>
      </c>
      <c r="D743" s="99" t="s">
        <v>139</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https://www.comunidad.madrid/hospital/elescorial/comunicación</v>
      </c>
      <c r="D744" s="99" t="s">
        <v>139</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https://www.comunidad.madrid/hospital/elescorial/nosotros</v>
      </c>
      <c r="D745" s="99" t="s">
        <v>139</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https://www.comunidad.madrid/hospital/elescorial/buscar?search_api_fulltext=&amp;nombre=</v>
      </c>
      <c r="D746" s="99" t="s">
        <v>139</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https://www.comunidad.madrid/hospital/elescorial/declaracion-accesibilidad</v>
      </c>
      <c r="D747" s="99" t="s">
        <v>139</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v>
      </c>
      <c r="C748" s="85" t="str" cm="1">
        <f t="array" ref="C748">IFERROR(INDEX('03.Muestra'!$F$8:$F$42,SMALL(IF("Página Web"='03.Muestra'!$D$8:$D$42,ROW('03.Muestra'!$F$8:$F$42)-MIN(ROW('03.Muestra'!$D$8:$D$42))+1,""),ROW()-740)),"")</f>
        <v>https://www.comunidad.madrid/hospital/elescorial/ciudadanos/aviso-legal-privacidad</v>
      </c>
      <c r="D748" s="99" t="s">
        <v>139</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SITIO</v>
      </c>
      <c r="C749" s="85" t="str" cm="1">
        <f t="array" ref="C749">IFERROR(INDEX('03.Muestra'!$F$8:$F$42,SMALL(IF("Página Web"='03.Muestra'!$D$8:$D$42,ROW('03.Muestra'!$F$8:$F$42)-MIN(ROW('03.Muestra'!$D$8:$D$42))+1,""),ROW()-740)),"")</f>
        <v>https://www.comunidad.madrid/hospital/elescorial/sitemap</v>
      </c>
      <c r="D749" s="99" t="s">
        <v>139</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VIDEOTECA</v>
      </c>
      <c r="C750" s="85" t="str" cm="1">
        <f t="array" ref="C750">IFERROR(INDEX('03.Muestra'!$F$8:$F$42,SMALL(IF("Página Web"='03.Muestra'!$D$8:$D$42,ROW('03.Muestra'!$F$8:$F$42)-MIN(ROW('03.Muestra'!$D$8:$D$42))+1,""),ROW()-740)),"")</f>
        <v>https://www.comunidad.madrid/hospital/elescorial/comunicacion/videoteca</v>
      </c>
      <c r="D750" s="99" t="s">
        <v>139</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ref="D751:D775" si="39">IF(AND(B751&lt;&gt;"",C751&lt;&gt;""),"N/T","")</f>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144</v>
      </c>
      <c r="B778" s="23" t="s">
        <v>136</v>
      </c>
      <c r="C778" s="24" t="s">
        <v>207</v>
      </c>
      <c r="D778" s="25" t="s">
        <v>146</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https://www.comunidad.madrid/hospital/elescorial/</v>
      </c>
      <c r="D779" s="99" t="s">
        <v>137</v>
      </c>
      <c r="E779" s="79" t="str">
        <f t="shared" ref="E779:E813" si="40">IF(D779&lt;&gt;"",IF(AND(B779&lt;&gt;"",C779&lt;&gt;""),"","ERR"),"")</f>
        <v/>
      </c>
      <c r="F779" s="86" t="s">
        <v>148</v>
      </c>
      <c r="G779" s="87" t="s">
        <v>149</v>
      </c>
      <c r="H779" s="88" t="s">
        <v>147</v>
      </c>
      <c r="I779" s="89" t="s">
        <v>139</v>
      </c>
      <c r="J779" s="90" t="s">
        <v>137</v>
      </c>
      <c r="K779" s="179" t="s">
        <v>143</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https://www.comunidad.madrid/hospital/elescorial/ciudadanos</v>
      </c>
      <c r="D780" s="99" t="s">
        <v>137</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https://www.comunidad.madrid/hospital/elescorial/profesionales</v>
      </c>
      <c r="D781" s="99" t="s">
        <v>137</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https://www.comunidad.madrid/hospital/elescorial/comunicación</v>
      </c>
      <c r="D782" s="99" t="s">
        <v>137</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https://www.comunidad.madrid/hospital/elescorial/nosotros</v>
      </c>
      <c r="D783" s="99" t="s">
        <v>137</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https://www.comunidad.madrid/hospital/elescorial/buscar?search_api_fulltext=&amp;nombre=</v>
      </c>
      <c r="D784" s="99" t="s">
        <v>137</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https://www.comunidad.madrid/hospital/elescorial/declaracion-accesibilidad</v>
      </c>
      <c r="D785" s="99" t="s">
        <v>137</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v>
      </c>
      <c r="C786" s="85" t="str" cm="1">
        <f t="array" ref="C786">IFERROR(INDEX('03.Muestra'!$F$8:$F$42,SMALL(IF("Página Web"='03.Muestra'!$D$8:$D$42,ROW('03.Muestra'!$F$8:$F$42)-MIN(ROW('03.Muestra'!$D$8:$D$42))+1,""),ROW()-778)),"")</f>
        <v>https://www.comunidad.madrid/hospital/elescorial/ciudadanos/aviso-legal-privacidad</v>
      </c>
      <c r="D786" s="99" t="s">
        <v>137</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SITIO</v>
      </c>
      <c r="C787" s="85" t="str" cm="1">
        <f t="array" ref="C787">IFERROR(INDEX('03.Muestra'!$F$8:$F$42,SMALL(IF("Página Web"='03.Muestra'!$D$8:$D$42,ROW('03.Muestra'!$F$8:$F$42)-MIN(ROW('03.Muestra'!$D$8:$D$42))+1,""),ROW()-778)),"")</f>
        <v>https://www.comunidad.madrid/hospital/elescorial/sitemap</v>
      </c>
      <c r="D787" s="99" t="s">
        <v>137</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VIDEOTECA</v>
      </c>
      <c r="C788" s="85" t="str" cm="1">
        <f t="array" ref="C788">IFERROR(INDEX('03.Muestra'!$F$8:$F$42,SMALL(IF("Página Web"='03.Muestra'!$D$8:$D$42,ROW('03.Muestra'!$F$8:$F$42)-MIN(ROW('03.Muestra'!$D$8:$D$42))+1,""),ROW()-778)),"")</f>
        <v>https://www.comunidad.madrid/hospital/elescorial/comunicacion/videoteca</v>
      </c>
      <c r="D788" s="99" t="s">
        <v>137</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ref="D789:D813" si="41">IF(AND(B789&lt;&gt;"",C789&lt;&gt;""),"N/T","")</f>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144</v>
      </c>
      <c r="B816" s="23" t="s">
        <v>136</v>
      </c>
      <c r="C816" s="24" t="s">
        <v>208</v>
      </c>
      <c r="D816" s="25" t="s">
        <v>146</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https://www.comunidad.madrid/hospital/elescorial/</v>
      </c>
      <c r="D817" s="99" t="s">
        <v>147</v>
      </c>
      <c r="E817" s="79" t="str">
        <f t="shared" ref="E817:E851" si="42">IF(D817&lt;&gt;"",IF(AND(B817&lt;&gt;"",C817&lt;&gt;""),"","ERR"),"")</f>
        <v/>
      </c>
      <c r="F817" s="86" t="s">
        <v>148</v>
      </c>
      <c r="G817" s="87" t="s">
        <v>149</v>
      </c>
      <c r="H817" s="88" t="s">
        <v>147</v>
      </c>
      <c r="I817" s="89" t="s">
        <v>139</v>
      </c>
      <c r="J817" s="90" t="s">
        <v>137</v>
      </c>
      <c r="K817" s="179" t="s">
        <v>143</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https://www.comunidad.madrid/hospital/elescorial/ciudadanos</v>
      </c>
      <c r="D818" s="99" t="s">
        <v>147</v>
      </c>
      <c r="E818" s="79" t="str">
        <f t="shared" si="42"/>
        <v/>
      </c>
      <c r="F818" s="91">
        <f ca="1">COUNTIF($D817:INDIRECT("$D" &amp;  SUM(ROW()-1,'03.Muestra'!$D$45)-1),F817)</f>
        <v>0</v>
      </c>
      <c r="G818" s="91">
        <f ca="1">COUNTIF($D817:INDIRECT("$D" &amp;  SUM(ROW()-1,'03.Muestra'!$D$45)-1),G817)</f>
        <v>0</v>
      </c>
      <c r="H818" s="91">
        <f ca="1">COUNTIF($D817:INDIRECT("$D" &amp;  SUM(ROW()-1,'03.Muestra'!$D$45)-1),H817)</f>
        <v>10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https://www.comunidad.madrid/hospital/elescorial/profesionales</v>
      </c>
      <c r="D819" s="99" t="s">
        <v>147</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https://www.comunidad.madrid/hospital/elescorial/comunicación</v>
      </c>
      <c r="D820" s="99" t="s">
        <v>147</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https://www.comunidad.madrid/hospital/elescorial/nosotros</v>
      </c>
      <c r="D821" s="99" t="s">
        <v>147</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https://www.comunidad.madrid/hospital/elescorial/buscar?search_api_fulltext=&amp;nombre=</v>
      </c>
      <c r="D822" s="99" t="s">
        <v>147</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https://www.comunidad.madrid/hospital/elescorial/declaracion-accesibilidad</v>
      </c>
      <c r="D823" s="99" t="s">
        <v>147</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v>
      </c>
      <c r="C824" s="85" t="str" cm="1">
        <f t="array" ref="C824">IFERROR(INDEX('03.Muestra'!$F$8:$F$42,SMALL(IF("Página Web"='03.Muestra'!$D$8:$D$42,ROW('03.Muestra'!$F$8:$F$42)-MIN(ROW('03.Muestra'!$D$8:$D$42))+1,""),ROW()-816)),"")</f>
        <v>https://www.comunidad.madrid/hospital/elescorial/ciudadanos/aviso-legal-privacidad</v>
      </c>
      <c r="D824" s="99" t="s">
        <v>147</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SITIO</v>
      </c>
      <c r="C825" s="85" t="str" cm="1">
        <f t="array" ref="C825">IFERROR(INDEX('03.Muestra'!$F$8:$F$42,SMALL(IF("Página Web"='03.Muestra'!$D$8:$D$42,ROW('03.Muestra'!$F$8:$F$42)-MIN(ROW('03.Muestra'!$D$8:$D$42))+1,""),ROW()-816)),"")</f>
        <v>https://www.comunidad.madrid/hospital/elescorial/sitemap</v>
      </c>
      <c r="D825" s="99" t="s">
        <v>147</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VIDEOTECA</v>
      </c>
      <c r="C826" s="85" t="str" cm="1">
        <f t="array" ref="C826">IFERROR(INDEX('03.Muestra'!$F$8:$F$42,SMALL(IF("Página Web"='03.Muestra'!$D$8:$D$42,ROW('03.Muestra'!$F$8:$F$42)-MIN(ROW('03.Muestra'!$D$8:$D$42))+1,""),ROW()-816)),"")</f>
        <v>https://www.comunidad.madrid/hospital/elescorial/comunicacion/videoteca</v>
      </c>
      <c r="D826" s="99" t="s">
        <v>147</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ref="D827:D851" si="43">IF(AND(B827&lt;&gt;"",C827&lt;&gt;""),"N/T","")</f>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144</v>
      </c>
      <c r="B854" s="23" t="s">
        <v>136</v>
      </c>
      <c r="C854" s="24" t="s">
        <v>209</v>
      </c>
      <c r="D854" s="25" t="s">
        <v>146</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https://www.comunidad.madrid/hospital/elescorial/</v>
      </c>
      <c r="D855" s="99" t="s">
        <v>147</v>
      </c>
      <c r="E855" s="79" t="str">
        <f t="shared" ref="E855:E889" si="44">IF(D855&lt;&gt;"",IF(AND(B855&lt;&gt;"",C855&lt;&gt;""),"","ERR"),"")</f>
        <v/>
      </c>
      <c r="F855" s="86" t="s">
        <v>148</v>
      </c>
      <c r="G855" s="87" t="s">
        <v>149</v>
      </c>
      <c r="H855" s="88" t="s">
        <v>147</v>
      </c>
      <c r="I855" s="89" t="s">
        <v>139</v>
      </c>
      <c r="J855" s="90" t="s">
        <v>137</v>
      </c>
      <c r="K855" s="179" t="s">
        <v>143</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https://www.comunidad.madrid/hospital/elescorial/ciudadanos</v>
      </c>
      <c r="D856" s="99" t="s">
        <v>147</v>
      </c>
      <c r="E856" s="79" t="str">
        <f t="shared" si="44"/>
        <v/>
      </c>
      <c r="F856" s="91">
        <f ca="1">COUNTIF($D855:INDIRECT("$D" &amp;  SUM(ROW()-1,'03.Muestra'!$D$45)-1),F855)</f>
        <v>0</v>
      </c>
      <c r="G856" s="91">
        <f ca="1">COUNTIF($D855:INDIRECT("$D" &amp;  SUM(ROW()-1,'03.Muestra'!$D$45)-1),G855)</f>
        <v>0</v>
      </c>
      <c r="H856" s="91">
        <f ca="1">COUNTIF($D855:INDIRECT("$D" &amp;  SUM(ROW()-1,'03.Muestra'!$D$45)-1),H855)</f>
        <v>10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https://www.comunidad.madrid/hospital/elescorial/profesionales</v>
      </c>
      <c r="D857" s="99" t="s">
        <v>147</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https://www.comunidad.madrid/hospital/elescorial/comunicación</v>
      </c>
      <c r="D858" s="99" t="s">
        <v>147</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https://www.comunidad.madrid/hospital/elescorial/nosotros</v>
      </c>
      <c r="D859" s="99" t="s">
        <v>147</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https://www.comunidad.madrid/hospital/elescorial/buscar?search_api_fulltext=&amp;nombre=</v>
      </c>
      <c r="D860" s="99" t="s">
        <v>147</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https://www.comunidad.madrid/hospital/elescorial/declaracion-accesibilidad</v>
      </c>
      <c r="D861" s="99" t="s">
        <v>147</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v>
      </c>
      <c r="C862" s="85" t="str" cm="1">
        <f t="array" ref="C862">IFERROR(INDEX('03.Muestra'!$F$8:$F$42,SMALL(IF("Página Web"='03.Muestra'!$D$8:$D$42,ROW('03.Muestra'!$F$8:$F$42)-MIN(ROW('03.Muestra'!$D$8:$D$42))+1,""),ROW()-854)),"")</f>
        <v>https://www.comunidad.madrid/hospital/elescorial/ciudadanos/aviso-legal-privacidad</v>
      </c>
      <c r="D862" s="99" t="s">
        <v>147</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SITIO</v>
      </c>
      <c r="C863" s="85" t="str" cm="1">
        <f t="array" ref="C863">IFERROR(INDEX('03.Muestra'!$F$8:$F$42,SMALL(IF("Página Web"='03.Muestra'!$D$8:$D$42,ROW('03.Muestra'!$F$8:$F$42)-MIN(ROW('03.Muestra'!$D$8:$D$42))+1,""),ROW()-854)),"")</f>
        <v>https://www.comunidad.madrid/hospital/elescorial/sitemap</v>
      </c>
      <c r="D863" s="99" t="s">
        <v>147</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VIDEOTECA</v>
      </c>
      <c r="C864" s="85" t="str" cm="1">
        <f t="array" ref="C864">IFERROR(INDEX('03.Muestra'!$F$8:$F$42,SMALL(IF("Página Web"='03.Muestra'!$D$8:$D$42,ROW('03.Muestra'!$F$8:$F$42)-MIN(ROW('03.Muestra'!$D$8:$D$42))+1,""),ROW()-854)),"")</f>
        <v>https://www.comunidad.madrid/hospital/elescorial/comunicacion/videoteca</v>
      </c>
      <c r="D864" s="99" t="s">
        <v>147</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ref="D865:D889" si="45">IF(AND(B865&lt;&gt;"",C865&lt;&gt;""),"N/T","")</f>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144</v>
      </c>
      <c r="B892" s="23" t="s">
        <v>136</v>
      </c>
      <c r="C892" s="24" t="s">
        <v>210</v>
      </c>
      <c r="D892" s="25" t="s">
        <v>146</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https://www.comunidad.madrid/hospital/elescorial/</v>
      </c>
      <c r="D893" s="99" t="s">
        <v>139</v>
      </c>
      <c r="E893" s="79" t="str">
        <f t="shared" ref="E893:E927" si="46">IF(D893&lt;&gt;"",IF(AND(B893&lt;&gt;"",C893&lt;&gt;""),"","ERR"),"")</f>
        <v/>
      </c>
      <c r="F893" s="86" t="s">
        <v>148</v>
      </c>
      <c r="G893" s="87" t="s">
        <v>149</v>
      </c>
      <c r="H893" s="88" t="s">
        <v>147</v>
      </c>
      <c r="I893" s="89" t="s">
        <v>139</v>
      </c>
      <c r="J893" s="90" t="s">
        <v>137</v>
      </c>
      <c r="K893" s="179" t="s">
        <v>143</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https://www.comunidad.madrid/hospital/elescorial/ciudadanos</v>
      </c>
      <c r="D894" s="99" t="s">
        <v>139</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3</v>
      </c>
      <c r="J894" s="91">
        <f ca="1">COUNTIF($D893:INDIRECT("$D" &amp;  SUM(ROW()-1,'03.Muestra'!$D$45)-1),J893)</f>
        <v>7</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https://www.comunidad.madrid/hospital/elescorial/profesionales</v>
      </c>
      <c r="D895" s="99" t="s">
        <v>137</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https://www.comunidad.madrid/hospital/elescorial/comunicación</v>
      </c>
      <c r="D896" s="99" t="s">
        <v>137</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https://www.comunidad.madrid/hospital/elescorial/nosotros</v>
      </c>
      <c r="D897" s="99" t="s">
        <v>139</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https://www.comunidad.madrid/hospital/elescorial/buscar?search_api_fulltext=&amp;nombre=</v>
      </c>
      <c r="D898" s="99" t="s">
        <v>137</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https://www.comunidad.madrid/hospital/elescorial/declaracion-accesibilidad</v>
      </c>
      <c r="D899" s="99" t="s">
        <v>137</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v>
      </c>
      <c r="C900" s="85" t="str" cm="1">
        <f t="array" ref="C900">IFERROR(INDEX('03.Muestra'!$F$8:$F$42,SMALL(IF("Página Web"='03.Muestra'!$D$8:$D$42,ROW('03.Muestra'!$F$8:$F$42)-MIN(ROW('03.Muestra'!$D$8:$D$42))+1,""),ROW()-892)),"")</f>
        <v>https://www.comunidad.madrid/hospital/elescorial/ciudadanos/aviso-legal-privacidad</v>
      </c>
      <c r="D900" s="99" t="s">
        <v>137</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SITIO</v>
      </c>
      <c r="C901" s="85" t="str" cm="1">
        <f t="array" ref="C901">IFERROR(INDEX('03.Muestra'!$F$8:$F$42,SMALL(IF("Página Web"='03.Muestra'!$D$8:$D$42,ROW('03.Muestra'!$F$8:$F$42)-MIN(ROW('03.Muestra'!$D$8:$D$42))+1,""),ROW()-892)),"")</f>
        <v>https://www.comunidad.madrid/hospital/elescorial/sitemap</v>
      </c>
      <c r="D901" s="99" t="s">
        <v>137</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VIDEOTECA</v>
      </c>
      <c r="C902" s="85" t="str" cm="1">
        <f t="array" ref="C902">IFERROR(INDEX('03.Muestra'!$F$8:$F$42,SMALL(IF("Página Web"='03.Muestra'!$D$8:$D$42,ROW('03.Muestra'!$F$8:$F$42)-MIN(ROW('03.Muestra'!$D$8:$D$42))+1,""),ROW()-892)),"")</f>
        <v>https://www.comunidad.madrid/hospital/elescorial/comunicacion/videoteca</v>
      </c>
      <c r="D902" s="99" t="s">
        <v>137</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ref="D903:D927" si="47">IF(AND(B903&lt;&gt;"",C903&lt;&gt;""),"N/T","")</f>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144</v>
      </c>
      <c r="B930" s="23" t="s">
        <v>136</v>
      </c>
      <c r="C930" s="24" t="s">
        <v>211</v>
      </c>
      <c r="D930" s="25" t="s">
        <v>146</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https://www.comunidad.madrid/hospital/elescorial/</v>
      </c>
      <c r="D931" s="99" t="s">
        <v>147</v>
      </c>
      <c r="E931" s="79" t="str">
        <f t="shared" ref="E931:E965" si="48">IF(D931&lt;&gt;"",IF(AND(B931&lt;&gt;"",C931&lt;&gt;""),"","ERR"),"")</f>
        <v/>
      </c>
      <c r="F931" s="86" t="s">
        <v>148</v>
      </c>
      <c r="G931" s="87" t="s">
        <v>149</v>
      </c>
      <c r="H931" s="88" t="s">
        <v>147</v>
      </c>
      <c r="I931" s="89" t="s">
        <v>139</v>
      </c>
      <c r="J931" s="90" t="s">
        <v>137</v>
      </c>
      <c r="K931" s="179" t="s">
        <v>143</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https://www.comunidad.madrid/hospital/elescorial/ciudadanos</v>
      </c>
      <c r="D932" s="99" t="s">
        <v>147</v>
      </c>
      <c r="E932" s="79" t="str">
        <f t="shared" si="48"/>
        <v/>
      </c>
      <c r="F932" s="91">
        <f ca="1">COUNTIF($D931:INDIRECT("$D" &amp;  SUM(ROW()-1,'03.Muestra'!$D$45)-1),F931)</f>
        <v>0</v>
      </c>
      <c r="G932" s="91">
        <f ca="1">COUNTIF($D931:INDIRECT("$D" &amp;  SUM(ROW()-1,'03.Muestra'!$D$45)-1),G931)</f>
        <v>0</v>
      </c>
      <c r="H932" s="91">
        <f ca="1">COUNTIF($D931:INDIRECT("$D" &amp;  SUM(ROW()-1,'03.Muestra'!$D$45)-1),H931)</f>
        <v>10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https://www.comunidad.madrid/hospital/elescorial/profesionales</v>
      </c>
      <c r="D933" s="99" t="s">
        <v>147</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https://www.comunidad.madrid/hospital/elescorial/comunicación</v>
      </c>
      <c r="D934" s="99" t="s">
        <v>147</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https://www.comunidad.madrid/hospital/elescorial/nosotros</v>
      </c>
      <c r="D935" s="99" t="s">
        <v>147</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https://www.comunidad.madrid/hospital/elescorial/buscar?search_api_fulltext=&amp;nombre=</v>
      </c>
      <c r="D936" s="99" t="s">
        <v>147</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https://www.comunidad.madrid/hospital/elescorial/declaracion-accesibilidad</v>
      </c>
      <c r="D937" s="99" t="s">
        <v>147</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v>
      </c>
      <c r="C938" s="85" t="str" cm="1">
        <f t="array" ref="C938">IFERROR(INDEX('03.Muestra'!$F$8:$F$42,SMALL(IF("Página Web"='03.Muestra'!$D$8:$D$42,ROW('03.Muestra'!$F$8:$F$42)-MIN(ROW('03.Muestra'!$D$8:$D$42))+1,""),ROW()-930)),"")</f>
        <v>https://www.comunidad.madrid/hospital/elescorial/ciudadanos/aviso-legal-privacidad</v>
      </c>
      <c r="D938" s="99" t="s">
        <v>147</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SITIO</v>
      </c>
      <c r="C939" s="85" t="str" cm="1">
        <f t="array" ref="C939">IFERROR(INDEX('03.Muestra'!$F$8:$F$42,SMALL(IF("Página Web"='03.Muestra'!$D$8:$D$42,ROW('03.Muestra'!$F$8:$F$42)-MIN(ROW('03.Muestra'!$D$8:$D$42))+1,""),ROW()-930)),"")</f>
        <v>https://www.comunidad.madrid/hospital/elescorial/sitemap</v>
      </c>
      <c r="D939" s="99" t="s">
        <v>147</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VIDEOTECA</v>
      </c>
      <c r="C940" s="85" t="str" cm="1">
        <f t="array" ref="C940">IFERROR(INDEX('03.Muestra'!$F$8:$F$42,SMALL(IF("Página Web"='03.Muestra'!$D$8:$D$42,ROW('03.Muestra'!$F$8:$F$42)-MIN(ROW('03.Muestra'!$D$8:$D$42))+1,""),ROW()-930)),"")</f>
        <v>https://www.comunidad.madrid/hospital/elescorial/comunicacion/videoteca</v>
      </c>
      <c r="D940" s="99" t="s">
        <v>147</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ref="D941:D965" si="49">IF(AND(B941&lt;&gt;"",C941&lt;&gt;""),"N/T","")</f>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144</v>
      </c>
      <c r="B968" s="23" t="s">
        <v>136</v>
      </c>
      <c r="C968" s="24" t="s">
        <v>212</v>
      </c>
      <c r="D968" s="25" t="s">
        <v>146</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https://www.comunidad.madrid/hospital/elescorial/</v>
      </c>
      <c r="D969" s="99" t="s">
        <v>137</v>
      </c>
      <c r="E969" s="79" t="str">
        <f t="shared" ref="E969:E1003" si="50">IF(D969&lt;&gt;"",IF(AND(B969&lt;&gt;"",C969&lt;&gt;""),"","ERR"),"")</f>
        <v/>
      </c>
      <c r="F969" s="86" t="s">
        <v>148</v>
      </c>
      <c r="G969" s="87" t="s">
        <v>149</v>
      </c>
      <c r="H969" s="88" t="s">
        <v>147</v>
      </c>
      <c r="I969" s="89" t="s">
        <v>139</v>
      </c>
      <c r="J969" s="90" t="s">
        <v>137</v>
      </c>
      <c r="K969" s="179" t="s">
        <v>143</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https://www.comunidad.madrid/hospital/elescorial/ciudadanos</v>
      </c>
      <c r="D970" s="99" t="s">
        <v>137</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https://www.comunidad.madrid/hospital/elescorial/profesionales</v>
      </c>
      <c r="D971" s="99" t="s">
        <v>137</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https://www.comunidad.madrid/hospital/elescorial/comunicación</v>
      </c>
      <c r="D972" s="99" t="s">
        <v>137</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https://www.comunidad.madrid/hospital/elescorial/nosotros</v>
      </c>
      <c r="D973" s="99" t="s">
        <v>137</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https://www.comunidad.madrid/hospital/elescorial/buscar?search_api_fulltext=&amp;nombre=</v>
      </c>
      <c r="D974" s="99" t="s">
        <v>137</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https://www.comunidad.madrid/hospital/elescorial/declaracion-accesibilidad</v>
      </c>
      <c r="D975" s="99" t="s">
        <v>137</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v>
      </c>
      <c r="C976" s="85" t="str" cm="1">
        <f t="array" ref="C976">IFERROR(INDEX('03.Muestra'!$F$8:$F$42,SMALL(IF("Página Web"='03.Muestra'!$D$8:$D$42,ROW('03.Muestra'!$F$8:$F$42)-MIN(ROW('03.Muestra'!$D$8:$D$42))+1,""),ROW()-968)),"")</f>
        <v>https://www.comunidad.madrid/hospital/elescorial/ciudadanos/aviso-legal-privacidad</v>
      </c>
      <c r="D976" s="99" t="s">
        <v>137</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SITIO</v>
      </c>
      <c r="C977" s="85" t="str" cm="1">
        <f t="array" ref="C977">IFERROR(INDEX('03.Muestra'!$F$8:$F$42,SMALL(IF("Página Web"='03.Muestra'!$D$8:$D$42,ROW('03.Muestra'!$F$8:$F$42)-MIN(ROW('03.Muestra'!$D$8:$D$42))+1,""),ROW()-968)),"")</f>
        <v>https://www.comunidad.madrid/hospital/elescorial/sitemap</v>
      </c>
      <c r="D977" s="99" t="s">
        <v>137</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VIDEOTECA</v>
      </c>
      <c r="C978" s="85" t="str" cm="1">
        <f t="array" ref="C978">IFERROR(INDEX('03.Muestra'!$F$8:$F$42,SMALL(IF("Página Web"='03.Muestra'!$D$8:$D$42,ROW('03.Muestra'!$F$8:$F$42)-MIN(ROW('03.Muestra'!$D$8:$D$42))+1,""),ROW()-968)),"")</f>
        <v>https://www.comunidad.madrid/hospital/elescorial/comunicacion/videoteca</v>
      </c>
      <c r="D978" s="99" t="s">
        <v>137</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ref="D979:D1003" si="51">IF(AND(B979&lt;&gt;"",C979&lt;&gt;""),"N/T","")</f>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144</v>
      </c>
      <c r="B1006" s="23" t="s">
        <v>136</v>
      </c>
      <c r="C1006" s="24" t="s">
        <v>213</v>
      </c>
      <c r="D1006" s="25" t="s">
        <v>146</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https://www.comunidad.madrid/hospital/elescorial/</v>
      </c>
      <c r="D1007" s="99" t="s">
        <v>137</v>
      </c>
      <c r="E1007" s="79" t="str">
        <f t="shared" ref="E1007:E1041" si="52">IF(D1007&lt;&gt;"",IF(AND(B1007&lt;&gt;"",C1007&lt;&gt;""),"","ERR"),"")</f>
        <v/>
      </c>
      <c r="F1007" s="86" t="s">
        <v>148</v>
      </c>
      <c r="G1007" s="87" t="s">
        <v>149</v>
      </c>
      <c r="H1007" s="88" t="s">
        <v>147</v>
      </c>
      <c r="I1007" s="89" t="s">
        <v>139</v>
      </c>
      <c r="J1007" s="90" t="s">
        <v>137</v>
      </c>
      <c r="K1007" s="179" t="s">
        <v>143</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https://www.comunidad.madrid/hospital/elescorial/ciudadanos</v>
      </c>
      <c r="D1008" s="99" t="s">
        <v>137</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https://www.comunidad.madrid/hospital/elescorial/profesionales</v>
      </c>
      <c r="D1009" s="99" t="s">
        <v>137</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https://www.comunidad.madrid/hospital/elescorial/comunicación</v>
      </c>
      <c r="D1010" s="99" t="s">
        <v>137</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https://www.comunidad.madrid/hospital/elescorial/nosotros</v>
      </c>
      <c r="D1011" s="99" t="s">
        <v>137</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https://www.comunidad.madrid/hospital/elescorial/buscar?search_api_fulltext=&amp;nombre=</v>
      </c>
      <c r="D1012" s="99" t="s">
        <v>137</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https://www.comunidad.madrid/hospital/elescorial/declaracion-accesibilidad</v>
      </c>
      <c r="D1013" s="99" t="s">
        <v>137</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v>
      </c>
      <c r="C1014" s="85" t="str" cm="1">
        <f t="array" ref="C1014">IFERROR(INDEX('03.Muestra'!$F$8:$F$42,SMALL(IF("Página Web"='03.Muestra'!$D$8:$D$42,ROW('03.Muestra'!$F$8:$F$42)-MIN(ROW('03.Muestra'!$D$8:$D$42))+1,""),ROW()-1006)),"")</f>
        <v>https://www.comunidad.madrid/hospital/elescorial/ciudadanos/aviso-legal-privacidad</v>
      </c>
      <c r="D1014" s="99" t="s">
        <v>137</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SITIO</v>
      </c>
      <c r="C1015" s="85" t="str" cm="1">
        <f t="array" ref="C1015">IFERROR(INDEX('03.Muestra'!$F$8:$F$42,SMALL(IF("Página Web"='03.Muestra'!$D$8:$D$42,ROW('03.Muestra'!$F$8:$F$42)-MIN(ROW('03.Muestra'!$D$8:$D$42))+1,""),ROW()-1006)),"")</f>
        <v>https://www.comunidad.madrid/hospital/elescorial/sitemap</v>
      </c>
      <c r="D1015" s="99" t="s">
        <v>137</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VIDEOTECA</v>
      </c>
      <c r="C1016" s="85" t="str" cm="1">
        <f t="array" ref="C1016">IFERROR(INDEX('03.Muestra'!$F$8:$F$42,SMALL(IF("Página Web"='03.Muestra'!$D$8:$D$42,ROW('03.Muestra'!$F$8:$F$42)-MIN(ROW('03.Muestra'!$D$8:$D$42))+1,""),ROW()-1006)),"")</f>
        <v>https://www.comunidad.madrid/hospital/elescorial/comunicacion/videoteca</v>
      </c>
      <c r="D1016" s="99" t="s">
        <v>137</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ref="D1017:D1041" si="53">IF(AND(B1017&lt;&gt;"",C1017&lt;&gt;""),"N/T","")</f>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144</v>
      </c>
      <c r="B1044" s="23" t="s">
        <v>136</v>
      </c>
      <c r="C1044" s="24" t="s">
        <v>214</v>
      </c>
      <c r="D1044" s="25" t="s">
        <v>146</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https://www.comunidad.madrid/hospital/elescorial/</v>
      </c>
      <c r="D1045" s="99" t="s">
        <v>139</v>
      </c>
      <c r="E1045" s="79" t="str">
        <f t="shared" ref="E1045:E1079" si="54">IF(D1045&lt;&gt;"",IF(AND(B1045&lt;&gt;"",C1045&lt;&gt;""),"","ERR"),"")</f>
        <v/>
      </c>
      <c r="F1045" s="86" t="s">
        <v>148</v>
      </c>
      <c r="G1045" s="87" t="s">
        <v>149</v>
      </c>
      <c r="H1045" s="88" t="s">
        <v>147</v>
      </c>
      <c r="I1045" s="89" t="s">
        <v>139</v>
      </c>
      <c r="J1045" s="90" t="s">
        <v>137</v>
      </c>
      <c r="K1045" s="179" t="s">
        <v>143</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https://www.comunidad.madrid/hospital/elescorial/ciudadanos</v>
      </c>
      <c r="D1046" s="99" t="s">
        <v>139</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https://www.comunidad.madrid/hospital/elescorial/profesionales</v>
      </c>
      <c r="D1047" s="99" t="s">
        <v>139</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https://www.comunidad.madrid/hospital/elescorial/comunicación</v>
      </c>
      <c r="D1048" s="99" t="s">
        <v>139</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https://www.comunidad.madrid/hospital/elescorial/nosotros</v>
      </c>
      <c r="D1049" s="99" t="s">
        <v>139</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https://www.comunidad.madrid/hospital/elescorial/buscar?search_api_fulltext=&amp;nombre=</v>
      </c>
      <c r="D1050" s="99" t="s">
        <v>139</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https://www.comunidad.madrid/hospital/elescorial/declaracion-accesibilidad</v>
      </c>
      <c r="D1051" s="99" t="s">
        <v>139</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v>
      </c>
      <c r="C1052" s="85" t="str" cm="1">
        <f t="array" ref="C1052">IFERROR(INDEX('03.Muestra'!$F$8:$F$42,SMALL(IF("Página Web"='03.Muestra'!$D$8:$D$42,ROW('03.Muestra'!$F$8:$F$42)-MIN(ROW('03.Muestra'!$D$8:$D$42))+1,""),ROW()-1044)),"")</f>
        <v>https://www.comunidad.madrid/hospital/elescorial/ciudadanos/aviso-legal-privacidad</v>
      </c>
      <c r="D1052" s="99" t="s">
        <v>139</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SITIO</v>
      </c>
      <c r="C1053" s="85" t="str" cm="1">
        <f t="array" ref="C1053">IFERROR(INDEX('03.Muestra'!$F$8:$F$42,SMALL(IF("Página Web"='03.Muestra'!$D$8:$D$42,ROW('03.Muestra'!$F$8:$F$42)-MIN(ROW('03.Muestra'!$D$8:$D$42))+1,""),ROW()-1044)),"")</f>
        <v>https://www.comunidad.madrid/hospital/elescorial/sitemap</v>
      </c>
      <c r="D1053" s="99" t="s">
        <v>139</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VIDEOTECA</v>
      </c>
      <c r="C1054" s="85" t="str" cm="1">
        <f t="array" ref="C1054">IFERROR(INDEX('03.Muestra'!$F$8:$F$42,SMALL(IF("Página Web"='03.Muestra'!$D$8:$D$42,ROW('03.Muestra'!$F$8:$F$42)-MIN(ROW('03.Muestra'!$D$8:$D$42))+1,""),ROW()-1044)),"")</f>
        <v>https://www.comunidad.madrid/hospital/elescorial/comunicacion/videoteca</v>
      </c>
      <c r="D1054" s="99" t="s">
        <v>139</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ref="D1055:D1079" si="55">IF(AND(B1055&lt;&gt;"",C1055&lt;&gt;""),"N/T","")</f>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144</v>
      </c>
      <c r="B1082" s="23" t="s">
        <v>136</v>
      </c>
      <c r="C1082" s="24" t="s">
        <v>215</v>
      </c>
      <c r="D1082" s="25" t="s">
        <v>146</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https://www.comunidad.madrid/hospital/elescorial/</v>
      </c>
      <c r="D1083" s="99" t="s">
        <v>137</v>
      </c>
      <c r="E1083" s="79" t="str">
        <f t="shared" ref="E1083:E1117" si="56">IF(D1083&lt;&gt;"",IF(AND(B1083&lt;&gt;"",C1083&lt;&gt;""),"","ERR"),"")</f>
        <v/>
      </c>
      <c r="F1083" s="86" t="s">
        <v>148</v>
      </c>
      <c r="G1083" s="87" t="s">
        <v>149</v>
      </c>
      <c r="H1083" s="88" t="s">
        <v>147</v>
      </c>
      <c r="I1083" s="89" t="s">
        <v>139</v>
      </c>
      <c r="J1083" s="90" t="s">
        <v>137</v>
      </c>
      <c r="K1083" s="179" t="s">
        <v>143</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https://www.comunidad.madrid/hospital/elescorial/ciudadanos</v>
      </c>
      <c r="D1084" s="99" t="s">
        <v>137</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https://www.comunidad.madrid/hospital/elescorial/profesionales</v>
      </c>
      <c r="D1085" s="99" t="s">
        <v>137</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https://www.comunidad.madrid/hospital/elescorial/comunicación</v>
      </c>
      <c r="D1086" s="99" t="s">
        <v>137</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https://www.comunidad.madrid/hospital/elescorial/nosotros</v>
      </c>
      <c r="D1087" s="99" t="s">
        <v>137</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https://www.comunidad.madrid/hospital/elescorial/buscar?search_api_fulltext=&amp;nombre=</v>
      </c>
      <c r="D1088" s="99" t="s">
        <v>137</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https://www.comunidad.madrid/hospital/elescorial/declaracion-accesibilidad</v>
      </c>
      <c r="D1089" s="99" t="s">
        <v>137</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v>
      </c>
      <c r="C1090" s="85" t="str" cm="1">
        <f t="array" ref="C1090">IFERROR(INDEX('03.Muestra'!$F$8:$F$42,SMALL(IF("Página Web"='03.Muestra'!$D$8:$D$42,ROW('03.Muestra'!$F$8:$F$42)-MIN(ROW('03.Muestra'!$D$8:$D$42))+1,""),ROW()-1082)),"")</f>
        <v>https://www.comunidad.madrid/hospital/elescorial/ciudadanos/aviso-legal-privacidad</v>
      </c>
      <c r="D1090" s="99" t="s">
        <v>137</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SITIO</v>
      </c>
      <c r="C1091" s="85" t="str" cm="1">
        <f t="array" ref="C1091">IFERROR(INDEX('03.Muestra'!$F$8:$F$42,SMALL(IF("Página Web"='03.Muestra'!$D$8:$D$42,ROW('03.Muestra'!$F$8:$F$42)-MIN(ROW('03.Muestra'!$D$8:$D$42))+1,""),ROW()-1082)),"")</f>
        <v>https://www.comunidad.madrid/hospital/elescorial/sitemap</v>
      </c>
      <c r="D1091" s="99" t="s">
        <v>137</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VIDEOTECA</v>
      </c>
      <c r="C1092" s="85" t="str" cm="1">
        <f t="array" ref="C1092">IFERROR(INDEX('03.Muestra'!$F$8:$F$42,SMALL(IF("Página Web"='03.Muestra'!$D$8:$D$42,ROW('03.Muestra'!$F$8:$F$42)-MIN(ROW('03.Muestra'!$D$8:$D$42))+1,""),ROW()-1082)),"")</f>
        <v>https://www.comunidad.madrid/hospital/elescorial/comunicacion/videoteca</v>
      </c>
      <c r="D1092" s="99" t="s">
        <v>137</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ref="D1093:D1117" si="57">IF(AND(B1093&lt;&gt;"",C1093&lt;&gt;""),"N/T","")</f>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144</v>
      </c>
      <c r="B1120" s="23" t="s">
        <v>136</v>
      </c>
      <c r="C1120" s="24" t="s">
        <v>216</v>
      </c>
      <c r="D1120" s="25" t="s">
        <v>146</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https://www.comunidad.madrid/hospital/elescorial/</v>
      </c>
      <c r="D1121" s="99" t="s">
        <v>137</v>
      </c>
      <c r="E1121" s="79" t="str">
        <f t="shared" ref="E1121:E1155" si="58">IF(D1121&lt;&gt;"",IF(AND(B1121&lt;&gt;"",C1121&lt;&gt;""),"","ERR"),"")</f>
        <v/>
      </c>
      <c r="F1121" s="86" t="s">
        <v>148</v>
      </c>
      <c r="G1121" s="87" t="s">
        <v>149</v>
      </c>
      <c r="H1121" s="88" t="s">
        <v>147</v>
      </c>
      <c r="I1121" s="89" t="s">
        <v>139</v>
      </c>
      <c r="J1121" s="90" t="s">
        <v>137</v>
      </c>
      <c r="K1121" s="179" t="s">
        <v>143</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https://www.comunidad.madrid/hospital/elescorial/ciudadanos</v>
      </c>
      <c r="D1122" s="99" t="s">
        <v>137</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https://www.comunidad.madrid/hospital/elescorial/profesionales</v>
      </c>
      <c r="D1123" s="99" t="s">
        <v>137</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https://www.comunidad.madrid/hospital/elescorial/comunicación</v>
      </c>
      <c r="D1124" s="99" t="s">
        <v>137</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https://www.comunidad.madrid/hospital/elescorial/nosotros</v>
      </c>
      <c r="D1125" s="99" t="s">
        <v>137</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https://www.comunidad.madrid/hospital/elescorial/buscar?search_api_fulltext=&amp;nombre=</v>
      </c>
      <c r="D1126" s="99" t="s">
        <v>137</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https://www.comunidad.madrid/hospital/elescorial/declaracion-accesibilidad</v>
      </c>
      <c r="D1127" s="99" t="s">
        <v>137</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v>
      </c>
      <c r="C1128" s="85" t="str" cm="1">
        <f t="array" ref="C1128">IFERROR(INDEX('03.Muestra'!$F$8:$F$42,SMALL(IF("Página Web"='03.Muestra'!$D$8:$D$42,ROW('03.Muestra'!$F$8:$F$42)-MIN(ROW('03.Muestra'!$D$8:$D$42))+1,""),ROW()-1120)),"")</f>
        <v>https://www.comunidad.madrid/hospital/elescorial/ciudadanos/aviso-legal-privacidad</v>
      </c>
      <c r="D1128" s="99" t="s">
        <v>137</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SITIO</v>
      </c>
      <c r="C1129" s="85" t="str" cm="1">
        <f t="array" ref="C1129">IFERROR(INDEX('03.Muestra'!$F$8:$F$42,SMALL(IF("Página Web"='03.Muestra'!$D$8:$D$42,ROW('03.Muestra'!$F$8:$F$42)-MIN(ROW('03.Muestra'!$D$8:$D$42))+1,""),ROW()-1120)),"")</f>
        <v>https://www.comunidad.madrid/hospital/elescorial/sitemap</v>
      </c>
      <c r="D1129" s="99" t="s">
        <v>137</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VIDEOTECA</v>
      </c>
      <c r="C1130" s="85" t="str" cm="1">
        <f t="array" ref="C1130">IFERROR(INDEX('03.Muestra'!$F$8:$F$42,SMALL(IF("Página Web"='03.Muestra'!$D$8:$D$42,ROW('03.Muestra'!$F$8:$F$42)-MIN(ROW('03.Muestra'!$D$8:$D$42))+1,""),ROW()-1120)),"")</f>
        <v>https://www.comunidad.madrid/hospital/elescorial/comunicacion/videoteca</v>
      </c>
      <c r="D1130" s="99" t="s">
        <v>137</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ref="D1131:D1155" si="59">IF(AND(B1131&lt;&gt;"",C1131&lt;&gt;""),"N/T","")</f>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144</v>
      </c>
      <c r="B1158" s="23" t="s">
        <v>136</v>
      </c>
      <c r="C1158" s="24" t="s">
        <v>217</v>
      </c>
      <c r="D1158" s="25" t="s">
        <v>146</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https://www.comunidad.madrid/hospital/elescorial/</v>
      </c>
      <c r="D1159" s="99" t="s">
        <v>137</v>
      </c>
      <c r="E1159" s="79" t="str">
        <f t="shared" ref="E1159:E1193" si="60">IF(D1159&lt;&gt;"",IF(AND(B1159&lt;&gt;"",C1159&lt;&gt;""),"","ERR"),"")</f>
        <v/>
      </c>
      <c r="F1159" s="86" t="s">
        <v>148</v>
      </c>
      <c r="G1159" s="87" t="s">
        <v>149</v>
      </c>
      <c r="H1159" s="88" t="s">
        <v>147</v>
      </c>
      <c r="I1159" s="89" t="s">
        <v>139</v>
      </c>
      <c r="J1159" s="90" t="s">
        <v>137</v>
      </c>
      <c r="K1159" s="179" t="s">
        <v>143</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https://www.comunidad.madrid/hospital/elescorial/ciudadanos</v>
      </c>
      <c r="D1160" s="99" t="s">
        <v>137</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https://www.comunidad.madrid/hospital/elescorial/profesionales</v>
      </c>
      <c r="D1161" s="99" t="s">
        <v>137</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https://www.comunidad.madrid/hospital/elescorial/comunicación</v>
      </c>
      <c r="D1162" s="99" t="s">
        <v>137</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https://www.comunidad.madrid/hospital/elescorial/nosotros</v>
      </c>
      <c r="D1163" s="99" t="s">
        <v>137</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https://www.comunidad.madrid/hospital/elescorial/buscar?search_api_fulltext=&amp;nombre=</v>
      </c>
      <c r="D1164" s="99" t="s">
        <v>137</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https://www.comunidad.madrid/hospital/elescorial/declaracion-accesibilidad</v>
      </c>
      <c r="D1165" s="99" t="s">
        <v>137</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v>
      </c>
      <c r="C1166" s="85" t="str" cm="1">
        <f t="array" ref="C1166">IFERROR(INDEX('03.Muestra'!$F$8:$F$42,SMALL(IF("Página Web"='03.Muestra'!$D$8:$D$42,ROW('03.Muestra'!$F$8:$F$42)-MIN(ROW('03.Muestra'!$D$8:$D$42))+1,""),ROW()-1158)),"")</f>
        <v>https://www.comunidad.madrid/hospital/elescorial/ciudadanos/aviso-legal-privacidad</v>
      </c>
      <c r="D1166" s="99" t="s">
        <v>137</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SITIO</v>
      </c>
      <c r="C1167" s="85" t="str" cm="1">
        <f t="array" ref="C1167">IFERROR(INDEX('03.Muestra'!$F$8:$F$42,SMALL(IF("Página Web"='03.Muestra'!$D$8:$D$42,ROW('03.Muestra'!$F$8:$F$42)-MIN(ROW('03.Muestra'!$D$8:$D$42))+1,""),ROW()-1158)),"")</f>
        <v>https://www.comunidad.madrid/hospital/elescorial/sitemap</v>
      </c>
      <c r="D1167" s="99" t="s">
        <v>137</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VIDEOTECA</v>
      </c>
      <c r="C1168" s="85" t="str" cm="1">
        <f t="array" ref="C1168">IFERROR(INDEX('03.Muestra'!$F$8:$F$42,SMALL(IF("Página Web"='03.Muestra'!$D$8:$D$42,ROW('03.Muestra'!$F$8:$F$42)-MIN(ROW('03.Muestra'!$D$8:$D$42))+1,""),ROW()-1158)),"")</f>
        <v>https://www.comunidad.madrid/hospital/elescorial/comunicacion/videoteca</v>
      </c>
      <c r="D1168" s="99" t="s">
        <v>137</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ref="D1169:D1193" si="61">IF(AND(B1169&lt;&gt;"",C1169&lt;&gt;""),"N/T","")</f>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144</v>
      </c>
      <c r="B1196" s="23" t="s">
        <v>136</v>
      </c>
      <c r="C1196" s="24" t="s">
        <v>218</v>
      </c>
      <c r="D1196" s="25" t="s">
        <v>146</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https://www.comunidad.madrid/hospital/elescorial/</v>
      </c>
      <c r="D1197" s="99" t="s">
        <v>139</v>
      </c>
      <c r="E1197" s="79" t="str">
        <f t="shared" ref="E1197:E1231" si="62">IF(D1197&lt;&gt;"",IF(AND(B1197&lt;&gt;"",C1197&lt;&gt;""),"","ERR"),"")</f>
        <v/>
      </c>
      <c r="F1197" s="86" t="s">
        <v>148</v>
      </c>
      <c r="G1197" s="87" t="s">
        <v>149</v>
      </c>
      <c r="H1197" s="88" t="s">
        <v>147</v>
      </c>
      <c r="I1197" s="89" t="s">
        <v>139</v>
      </c>
      <c r="J1197" s="90" t="s">
        <v>137</v>
      </c>
      <c r="K1197" s="179" t="s">
        <v>143</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https://www.comunidad.madrid/hospital/elescorial/ciudadanos</v>
      </c>
      <c r="D1198" s="99" t="s">
        <v>139</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https://www.comunidad.madrid/hospital/elescorial/profesionales</v>
      </c>
      <c r="D1199" s="99" t="s">
        <v>139</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https://www.comunidad.madrid/hospital/elescorial/comunicación</v>
      </c>
      <c r="D1200" s="99" t="s">
        <v>139</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https://www.comunidad.madrid/hospital/elescorial/nosotros</v>
      </c>
      <c r="D1201" s="99" t="s">
        <v>139</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https://www.comunidad.madrid/hospital/elescorial/buscar?search_api_fulltext=&amp;nombre=</v>
      </c>
      <c r="D1202" s="99" t="s">
        <v>139</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https://www.comunidad.madrid/hospital/elescorial/declaracion-accesibilidad</v>
      </c>
      <c r="D1203" s="99" t="s">
        <v>139</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v>
      </c>
      <c r="C1204" s="85" t="str" cm="1">
        <f t="array" ref="C1204">IFERROR(INDEX('03.Muestra'!$F$8:$F$42,SMALL(IF("Página Web"='03.Muestra'!$D$8:$D$42,ROW('03.Muestra'!$F$8:$F$42)-MIN(ROW('03.Muestra'!$D$8:$D$42))+1,""),ROW()-1196)),"")</f>
        <v>https://www.comunidad.madrid/hospital/elescorial/ciudadanos/aviso-legal-privacidad</v>
      </c>
      <c r="D1204" s="99" t="s">
        <v>139</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SITIO</v>
      </c>
      <c r="C1205" s="85" t="str" cm="1">
        <f t="array" ref="C1205">IFERROR(INDEX('03.Muestra'!$F$8:$F$42,SMALL(IF("Página Web"='03.Muestra'!$D$8:$D$42,ROW('03.Muestra'!$F$8:$F$42)-MIN(ROW('03.Muestra'!$D$8:$D$42))+1,""),ROW()-1196)),"")</f>
        <v>https://www.comunidad.madrid/hospital/elescorial/sitemap</v>
      </c>
      <c r="D1205" s="99" t="s">
        <v>139</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VIDEOTECA</v>
      </c>
      <c r="C1206" s="85" t="str" cm="1">
        <f t="array" ref="C1206">IFERROR(INDEX('03.Muestra'!$F$8:$F$42,SMALL(IF("Página Web"='03.Muestra'!$D$8:$D$42,ROW('03.Muestra'!$F$8:$F$42)-MIN(ROW('03.Muestra'!$D$8:$D$42))+1,""),ROW()-1196)),"")</f>
        <v>https://www.comunidad.madrid/hospital/elescorial/comunicacion/videoteca</v>
      </c>
      <c r="D1206" s="99" t="s">
        <v>139</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ref="D1207:D1231" si="63">IF(AND(B1207&lt;&gt;"",C1207&lt;&gt;""),"N/T","")</f>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144</v>
      </c>
      <c r="B1234" s="23" t="s">
        <v>136</v>
      </c>
      <c r="C1234" s="24" t="s">
        <v>219</v>
      </c>
      <c r="D1234" s="25" t="s">
        <v>146</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https://www.comunidad.madrid/hospital/elescorial/</v>
      </c>
      <c r="D1235" s="99" t="s">
        <v>147</v>
      </c>
      <c r="E1235" s="79" t="str">
        <f t="shared" ref="E1235:E1269" si="64">IF(D1235&lt;&gt;"",IF(AND(B1235&lt;&gt;"",C1235&lt;&gt;""),"","ERR"),"")</f>
        <v/>
      </c>
      <c r="F1235" s="86" t="s">
        <v>148</v>
      </c>
      <c r="G1235" s="87" t="s">
        <v>149</v>
      </c>
      <c r="H1235" s="88" t="s">
        <v>147</v>
      </c>
      <c r="I1235" s="89" t="s">
        <v>139</v>
      </c>
      <c r="J1235" s="90" t="s">
        <v>137</v>
      </c>
      <c r="K1235" s="179" t="s">
        <v>143</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https://www.comunidad.madrid/hospital/elescorial/ciudadanos</v>
      </c>
      <c r="D1236" s="99" t="s">
        <v>147</v>
      </c>
      <c r="E1236" s="79" t="str">
        <f t="shared" si="64"/>
        <v/>
      </c>
      <c r="F1236" s="91">
        <f ca="1">COUNTIF($D1235:INDIRECT("$D" &amp;  SUM(ROW()-1,'03.Muestra'!$D$45)-1),F1235)</f>
        <v>0</v>
      </c>
      <c r="G1236" s="91">
        <f ca="1">COUNTIF($D1235:INDIRECT("$D" &amp;  SUM(ROW()-1,'03.Muestra'!$D$45)-1),G1235)</f>
        <v>0</v>
      </c>
      <c r="H1236" s="91">
        <f ca="1">COUNTIF($D1235:INDIRECT("$D" &amp;  SUM(ROW()-1,'03.Muestra'!$D$45)-1),H1235)</f>
        <v>10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https://www.comunidad.madrid/hospital/elescorial/profesionales</v>
      </c>
      <c r="D1237" s="99" t="s">
        <v>147</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https://www.comunidad.madrid/hospital/elescorial/comunicación</v>
      </c>
      <c r="D1238" s="99" t="s">
        <v>147</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https://www.comunidad.madrid/hospital/elescorial/nosotros</v>
      </c>
      <c r="D1239" s="99" t="s">
        <v>147</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https://www.comunidad.madrid/hospital/elescorial/buscar?search_api_fulltext=&amp;nombre=</v>
      </c>
      <c r="D1240" s="99" t="s">
        <v>147</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https://www.comunidad.madrid/hospital/elescorial/declaracion-accesibilidad</v>
      </c>
      <c r="D1241" s="99" t="s">
        <v>147</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v>
      </c>
      <c r="C1242" s="85" t="str" cm="1">
        <f t="array" ref="C1242">IFERROR(INDEX('03.Muestra'!$F$8:$F$42,SMALL(IF("Página Web"='03.Muestra'!$D$8:$D$42,ROW('03.Muestra'!$F$8:$F$42)-MIN(ROW('03.Muestra'!$D$8:$D$42))+1,""),ROW()-1234)),"")</f>
        <v>https://www.comunidad.madrid/hospital/elescorial/ciudadanos/aviso-legal-privacidad</v>
      </c>
      <c r="D1242" s="99" t="s">
        <v>147</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SITIO</v>
      </c>
      <c r="C1243" s="85" t="str" cm="1">
        <f t="array" ref="C1243">IFERROR(INDEX('03.Muestra'!$F$8:$F$42,SMALL(IF("Página Web"='03.Muestra'!$D$8:$D$42,ROW('03.Muestra'!$F$8:$F$42)-MIN(ROW('03.Muestra'!$D$8:$D$42))+1,""),ROW()-1234)),"")</f>
        <v>https://www.comunidad.madrid/hospital/elescorial/sitemap</v>
      </c>
      <c r="D1243" s="99" t="s">
        <v>147</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VIDEOTECA</v>
      </c>
      <c r="C1244" s="85" t="str" cm="1">
        <f t="array" ref="C1244">IFERROR(INDEX('03.Muestra'!$F$8:$F$42,SMALL(IF("Página Web"='03.Muestra'!$D$8:$D$42,ROW('03.Muestra'!$F$8:$F$42)-MIN(ROW('03.Muestra'!$D$8:$D$42))+1,""),ROW()-1234)),"")</f>
        <v>https://www.comunidad.madrid/hospital/elescorial/comunicacion/videoteca</v>
      </c>
      <c r="D1244" s="99" t="s">
        <v>147</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144</v>
      </c>
      <c r="B1272" s="23" t="s">
        <v>136</v>
      </c>
      <c r="C1272" s="24" t="s">
        <v>220</v>
      </c>
      <c r="D1272" s="25" t="s">
        <v>146</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https://www.comunidad.madrid/hospital/elescorial/</v>
      </c>
      <c r="D1273" s="99" t="s">
        <v>137</v>
      </c>
      <c r="E1273" s="79" t="str">
        <f t="shared" ref="E1273:E1307" si="66">IF(D1273&lt;&gt;"",IF(AND(B1273&lt;&gt;"",C1273&lt;&gt;""),"","ERR"),"")</f>
        <v/>
      </c>
      <c r="F1273" s="86" t="s">
        <v>148</v>
      </c>
      <c r="G1273" s="87" t="s">
        <v>149</v>
      </c>
      <c r="H1273" s="88" t="s">
        <v>147</v>
      </c>
      <c r="I1273" s="89" t="s">
        <v>139</v>
      </c>
      <c r="J1273" s="90" t="s">
        <v>137</v>
      </c>
      <c r="K1273" s="179" t="s">
        <v>143</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https://www.comunidad.madrid/hospital/elescorial/ciudadanos</v>
      </c>
      <c r="D1274" s="99" t="s">
        <v>137</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https://www.comunidad.madrid/hospital/elescorial/profesionales</v>
      </c>
      <c r="D1275" s="99" t="s">
        <v>137</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https://www.comunidad.madrid/hospital/elescorial/comunicación</v>
      </c>
      <c r="D1276" s="99" t="s">
        <v>137</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https://www.comunidad.madrid/hospital/elescorial/nosotros</v>
      </c>
      <c r="D1277" s="99" t="s">
        <v>137</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https://www.comunidad.madrid/hospital/elescorial/buscar?search_api_fulltext=&amp;nombre=</v>
      </c>
      <c r="D1278" s="99" t="s">
        <v>137</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https://www.comunidad.madrid/hospital/elescorial/declaracion-accesibilidad</v>
      </c>
      <c r="D1279" s="99" t="s">
        <v>137</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v>
      </c>
      <c r="C1280" s="85" t="str" cm="1">
        <f t="array" ref="C1280">IFERROR(INDEX('03.Muestra'!$F$8:$F$42,SMALL(IF("Página Web"='03.Muestra'!$D$8:$D$42,ROW('03.Muestra'!$F$8:$F$42)-MIN(ROW('03.Muestra'!$D$8:$D$42))+1,""),ROW()-1272)),"")</f>
        <v>https://www.comunidad.madrid/hospital/elescorial/ciudadanos/aviso-legal-privacidad</v>
      </c>
      <c r="D1280" s="99" t="s">
        <v>137</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SITIO</v>
      </c>
      <c r="C1281" s="85" t="str" cm="1">
        <f t="array" ref="C1281">IFERROR(INDEX('03.Muestra'!$F$8:$F$42,SMALL(IF("Página Web"='03.Muestra'!$D$8:$D$42,ROW('03.Muestra'!$F$8:$F$42)-MIN(ROW('03.Muestra'!$D$8:$D$42))+1,""),ROW()-1272)),"")</f>
        <v>https://www.comunidad.madrid/hospital/elescorial/sitemap</v>
      </c>
      <c r="D1281" s="99" t="s">
        <v>137</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VIDEOTECA</v>
      </c>
      <c r="C1282" s="85" t="str" cm="1">
        <f t="array" ref="C1282">IFERROR(INDEX('03.Muestra'!$F$8:$F$42,SMALL(IF("Página Web"='03.Muestra'!$D$8:$D$42,ROW('03.Muestra'!$F$8:$F$42)-MIN(ROW('03.Muestra'!$D$8:$D$42))+1,""),ROW()-1272)),"")</f>
        <v>https://www.comunidad.madrid/hospital/elescorial/comunicacion/videoteca</v>
      </c>
      <c r="D1282" s="99" t="s">
        <v>137</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ref="D1283:D1307" si="67">IF(AND(B1283&lt;&gt;"",C1283&lt;&gt;""),"N/T","")</f>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144</v>
      </c>
      <c r="B1310" s="23" t="s">
        <v>136</v>
      </c>
      <c r="C1310" s="24" t="s">
        <v>221</v>
      </c>
      <c r="D1310" s="25" t="s">
        <v>146</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https://www.comunidad.madrid/hospital/elescorial/</v>
      </c>
      <c r="D1311" s="99" t="s">
        <v>137</v>
      </c>
      <c r="E1311" s="79" t="str">
        <f t="shared" ref="E1311:E1345" si="68">IF(D1311&lt;&gt;"",IF(AND(B1311&lt;&gt;"",C1311&lt;&gt;""),"","ERR"),"")</f>
        <v/>
      </c>
      <c r="F1311" s="86" t="s">
        <v>148</v>
      </c>
      <c r="G1311" s="87" t="s">
        <v>149</v>
      </c>
      <c r="H1311" s="88" t="s">
        <v>147</v>
      </c>
      <c r="I1311" s="89" t="s">
        <v>139</v>
      </c>
      <c r="J1311" s="90" t="s">
        <v>137</v>
      </c>
      <c r="K1311" s="179" t="s">
        <v>143</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https://www.comunidad.madrid/hospital/elescorial/ciudadanos</v>
      </c>
      <c r="D1312" s="99" t="s">
        <v>137</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5</v>
      </c>
      <c r="J1312" s="91">
        <f ca="1">COUNTIF($D1311:INDIRECT("$D" &amp;  SUM(ROW()-1,'03.Muestra'!$D$45)-1),J1311)</f>
        <v>5</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https://www.comunidad.madrid/hospital/elescorial/profesionales</v>
      </c>
      <c r="D1313" s="99" t="s">
        <v>139</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https://www.comunidad.madrid/hospital/elescorial/comunicación</v>
      </c>
      <c r="D1314" s="99" t="s">
        <v>139</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https://www.comunidad.madrid/hospital/elescorial/nosotros</v>
      </c>
      <c r="D1315" s="99" t="s">
        <v>139</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https://www.comunidad.madrid/hospital/elescorial/buscar?search_api_fulltext=&amp;nombre=</v>
      </c>
      <c r="D1316" s="99" t="s">
        <v>139</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https://www.comunidad.madrid/hospital/elescorial/declaracion-accesibilidad</v>
      </c>
      <c r="D1317" s="99" t="s">
        <v>137</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v>
      </c>
      <c r="C1318" s="85" t="str" cm="1">
        <f t="array" ref="C1318">IFERROR(INDEX('03.Muestra'!$F$8:$F$42,SMALL(IF("Página Web"='03.Muestra'!$D$8:$D$42,ROW('03.Muestra'!$F$8:$F$42)-MIN(ROW('03.Muestra'!$D$8:$D$42))+1,""),ROW()-1310)),"")</f>
        <v>https://www.comunidad.madrid/hospital/elescorial/ciudadanos/aviso-legal-privacidad</v>
      </c>
      <c r="D1318" s="99" t="s">
        <v>137</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SITIO</v>
      </c>
      <c r="C1319" s="85" t="str" cm="1">
        <f t="array" ref="C1319">IFERROR(INDEX('03.Muestra'!$F$8:$F$42,SMALL(IF("Página Web"='03.Muestra'!$D$8:$D$42,ROW('03.Muestra'!$F$8:$F$42)-MIN(ROW('03.Muestra'!$D$8:$D$42))+1,""),ROW()-1310)),"")</f>
        <v>https://www.comunidad.madrid/hospital/elescorial/sitemap</v>
      </c>
      <c r="D1319" s="99" t="s">
        <v>137</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VIDEOTECA</v>
      </c>
      <c r="C1320" s="85" t="str" cm="1">
        <f t="array" ref="C1320">IFERROR(INDEX('03.Muestra'!$F$8:$F$42,SMALL(IF("Página Web"='03.Muestra'!$D$8:$D$42,ROW('03.Muestra'!$F$8:$F$42)-MIN(ROW('03.Muestra'!$D$8:$D$42))+1,""),ROW()-1310)),"")</f>
        <v>https://www.comunidad.madrid/hospital/elescorial/comunicacion/videoteca</v>
      </c>
      <c r="D1320" s="99" t="s">
        <v>139</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ref="D1321:D1345" si="69">IF(AND(B1321&lt;&gt;"",C1321&lt;&gt;""),"N/T","")</f>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144</v>
      </c>
      <c r="B1348" s="23" t="s">
        <v>136</v>
      </c>
      <c r="C1348" s="24" t="s">
        <v>222</v>
      </c>
      <c r="D1348" s="25" t="s">
        <v>146</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https://www.comunidad.madrid/hospital/elescorial/</v>
      </c>
      <c r="D1349" s="99" t="s">
        <v>147</v>
      </c>
      <c r="E1349" s="79" t="str">
        <f t="shared" ref="E1349:E1383" si="70">IF(D1349&lt;&gt;"",IF(AND(B1349&lt;&gt;"",C1349&lt;&gt;""),"","ERR"),"")</f>
        <v/>
      </c>
      <c r="F1349" s="86" t="s">
        <v>148</v>
      </c>
      <c r="G1349" s="87" t="s">
        <v>149</v>
      </c>
      <c r="H1349" s="88" t="s">
        <v>147</v>
      </c>
      <c r="I1349" s="89" t="s">
        <v>139</v>
      </c>
      <c r="J1349" s="90" t="s">
        <v>137</v>
      </c>
      <c r="K1349" s="179" t="s">
        <v>143</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https://www.comunidad.madrid/hospital/elescorial/ciudadanos</v>
      </c>
      <c r="D1350" s="99" t="s">
        <v>147</v>
      </c>
      <c r="E1350" s="79" t="str">
        <f t="shared" si="70"/>
        <v/>
      </c>
      <c r="F1350" s="91">
        <f ca="1">COUNTIF($D1349:INDIRECT("$D" &amp;  SUM(ROW()-1,'03.Muestra'!$D$45)-1),F1349)</f>
        <v>0</v>
      </c>
      <c r="G1350" s="91">
        <f ca="1">COUNTIF($D1349:INDIRECT("$D" &amp;  SUM(ROW()-1,'03.Muestra'!$D$45)-1),G1349)</f>
        <v>0</v>
      </c>
      <c r="H1350" s="91">
        <f ca="1">COUNTIF($D1349:INDIRECT("$D" &amp;  SUM(ROW()-1,'03.Muestra'!$D$45)-1),H1349)</f>
        <v>10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https://www.comunidad.madrid/hospital/elescorial/profesionales</v>
      </c>
      <c r="D1351" s="99" t="s">
        <v>147</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https://www.comunidad.madrid/hospital/elescorial/comunicación</v>
      </c>
      <c r="D1352" s="99" t="s">
        <v>147</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https://www.comunidad.madrid/hospital/elescorial/nosotros</v>
      </c>
      <c r="D1353" s="99" t="s">
        <v>147</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https://www.comunidad.madrid/hospital/elescorial/buscar?search_api_fulltext=&amp;nombre=</v>
      </c>
      <c r="D1354" s="99" t="s">
        <v>147</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https://www.comunidad.madrid/hospital/elescorial/declaracion-accesibilidad</v>
      </c>
      <c r="D1355" s="99" t="s">
        <v>147</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v>
      </c>
      <c r="C1356" s="85" t="str" cm="1">
        <f t="array" ref="C1356">IFERROR(INDEX('03.Muestra'!$F$8:$F$42,SMALL(IF("Página Web"='03.Muestra'!$D$8:$D$42,ROW('03.Muestra'!$F$8:$F$42)-MIN(ROW('03.Muestra'!$D$8:$D$42))+1,""),ROW()-1348)),"")</f>
        <v>https://www.comunidad.madrid/hospital/elescorial/ciudadanos/aviso-legal-privacidad</v>
      </c>
      <c r="D1356" s="99" t="s">
        <v>147</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SITIO</v>
      </c>
      <c r="C1357" s="85" t="str" cm="1">
        <f t="array" ref="C1357">IFERROR(INDEX('03.Muestra'!$F$8:$F$42,SMALL(IF("Página Web"='03.Muestra'!$D$8:$D$42,ROW('03.Muestra'!$F$8:$F$42)-MIN(ROW('03.Muestra'!$D$8:$D$42))+1,""),ROW()-1348)),"")</f>
        <v>https://www.comunidad.madrid/hospital/elescorial/sitemap</v>
      </c>
      <c r="D1357" s="99" t="s">
        <v>147</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VIDEOTECA</v>
      </c>
      <c r="C1358" s="85" t="str" cm="1">
        <f t="array" ref="C1358">IFERROR(INDEX('03.Muestra'!$F$8:$F$42,SMALL(IF("Página Web"='03.Muestra'!$D$8:$D$42,ROW('03.Muestra'!$F$8:$F$42)-MIN(ROW('03.Muestra'!$D$8:$D$42))+1,""),ROW()-1348)),"")</f>
        <v>https://www.comunidad.madrid/hospital/elescorial/comunicacion/videoteca</v>
      </c>
      <c r="D1358" s="99" t="s">
        <v>147</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ref="D1359:D1383" si="71">IF(AND(B1359&lt;&gt;"",C1359&lt;&gt;""),"N/T","")</f>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144</v>
      </c>
      <c r="B1386" s="23" t="s">
        <v>136</v>
      </c>
      <c r="C1386" s="24" t="s">
        <v>223</v>
      </c>
      <c r="D1386" s="25" t="s">
        <v>146</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https://www.comunidad.madrid/hospital/elescorial/</v>
      </c>
      <c r="D1387" s="99" t="s">
        <v>137</v>
      </c>
      <c r="E1387" s="79" t="str">
        <f t="shared" ref="E1387:E1421" si="72">IF(D1387&lt;&gt;"",IF(AND(B1387&lt;&gt;"",C1387&lt;&gt;""),"","ERR"),"")</f>
        <v/>
      </c>
      <c r="F1387" s="86" t="s">
        <v>148</v>
      </c>
      <c r="G1387" s="87" t="s">
        <v>149</v>
      </c>
      <c r="H1387" s="88" t="s">
        <v>147</v>
      </c>
      <c r="I1387" s="89" t="s">
        <v>139</v>
      </c>
      <c r="J1387" s="90" t="s">
        <v>137</v>
      </c>
      <c r="K1387" s="179" t="s">
        <v>143</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https://www.comunidad.madrid/hospital/elescorial/ciudadanos</v>
      </c>
      <c r="D1388" s="99" t="s">
        <v>137</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https://www.comunidad.madrid/hospital/elescorial/profesionales</v>
      </c>
      <c r="D1389" s="99" t="s">
        <v>137</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https://www.comunidad.madrid/hospital/elescorial/comunicación</v>
      </c>
      <c r="D1390" s="99" t="s">
        <v>137</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https://www.comunidad.madrid/hospital/elescorial/nosotros</v>
      </c>
      <c r="D1391" s="99" t="s">
        <v>137</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https://www.comunidad.madrid/hospital/elescorial/buscar?search_api_fulltext=&amp;nombre=</v>
      </c>
      <c r="D1392" s="99" t="s">
        <v>137</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https://www.comunidad.madrid/hospital/elescorial/declaracion-accesibilidad</v>
      </c>
      <c r="D1393" s="99" t="s">
        <v>137</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v>
      </c>
      <c r="C1394" s="85" t="str" cm="1">
        <f t="array" ref="C1394">IFERROR(INDEX('03.Muestra'!$F$8:$F$42,SMALL(IF("Página Web"='03.Muestra'!$D$8:$D$42,ROW('03.Muestra'!$F$8:$F$42)-MIN(ROW('03.Muestra'!$D$8:$D$42))+1,""),ROW()-1386)),"")</f>
        <v>https://www.comunidad.madrid/hospital/elescorial/ciudadanos/aviso-legal-privacidad</v>
      </c>
      <c r="D1394" s="99" t="s">
        <v>137</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SITIO</v>
      </c>
      <c r="C1395" s="85" t="str" cm="1">
        <f t="array" ref="C1395">IFERROR(INDEX('03.Muestra'!$F$8:$F$42,SMALL(IF("Página Web"='03.Muestra'!$D$8:$D$42,ROW('03.Muestra'!$F$8:$F$42)-MIN(ROW('03.Muestra'!$D$8:$D$42))+1,""),ROW()-1386)),"")</f>
        <v>https://www.comunidad.madrid/hospital/elescorial/sitemap</v>
      </c>
      <c r="D1395" s="99" t="s">
        <v>137</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VIDEOTECA</v>
      </c>
      <c r="C1396" s="85" t="str" cm="1">
        <f t="array" ref="C1396">IFERROR(INDEX('03.Muestra'!$F$8:$F$42,SMALL(IF("Página Web"='03.Muestra'!$D$8:$D$42,ROW('03.Muestra'!$F$8:$F$42)-MIN(ROW('03.Muestra'!$D$8:$D$42))+1,""),ROW()-1386)),"")</f>
        <v>https://www.comunidad.madrid/hospital/elescorial/comunicacion/videoteca</v>
      </c>
      <c r="D1396" s="99" t="s">
        <v>137</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ref="D1397:D1421" si="73">IF(AND(B1397&lt;&gt;"",C1397&lt;&gt;""),"N/T","")</f>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144</v>
      </c>
      <c r="B1424" s="23" t="s">
        <v>136</v>
      </c>
      <c r="C1424" s="24" t="s">
        <v>224</v>
      </c>
      <c r="D1424" s="25" t="s">
        <v>146</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https://www.comunidad.madrid/hospital/elescorial/</v>
      </c>
      <c r="D1425" s="99" t="s">
        <v>147</v>
      </c>
      <c r="E1425" s="79" t="str">
        <f t="shared" ref="E1425:E1459" si="74">IF(D1425&lt;&gt;"",IF(AND(B1425&lt;&gt;"",C1425&lt;&gt;""),"","ERR"),"")</f>
        <v/>
      </c>
      <c r="F1425" s="86" t="s">
        <v>148</v>
      </c>
      <c r="G1425" s="87" t="s">
        <v>149</v>
      </c>
      <c r="H1425" s="88" t="s">
        <v>147</v>
      </c>
      <c r="I1425" s="89" t="s">
        <v>139</v>
      </c>
      <c r="J1425" s="90" t="s">
        <v>137</v>
      </c>
      <c r="K1425" s="179" t="s">
        <v>143</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https://www.comunidad.madrid/hospital/elescorial/ciudadanos</v>
      </c>
      <c r="D1426" s="99" t="s">
        <v>147</v>
      </c>
      <c r="E1426" s="79" t="str">
        <f t="shared" si="74"/>
        <v/>
      </c>
      <c r="F1426" s="91">
        <f ca="1">COUNTIF($D1425:INDIRECT("$D" &amp;  SUM(ROW()-1,'03.Muestra'!$D$45)-1),F1425)</f>
        <v>0</v>
      </c>
      <c r="G1426" s="91">
        <f ca="1">COUNTIF($D1425:INDIRECT("$D" &amp;  SUM(ROW()-1,'03.Muestra'!$D$45)-1),G1425)</f>
        <v>0</v>
      </c>
      <c r="H1426" s="91">
        <f ca="1">COUNTIF($D1425:INDIRECT("$D" &amp;  SUM(ROW()-1,'03.Muestra'!$D$45)-1),H1425)</f>
        <v>10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https://www.comunidad.madrid/hospital/elescorial/profesionales</v>
      </c>
      <c r="D1427" s="99" t="s">
        <v>147</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https://www.comunidad.madrid/hospital/elescorial/comunicación</v>
      </c>
      <c r="D1428" s="99" t="s">
        <v>147</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https://www.comunidad.madrid/hospital/elescorial/nosotros</v>
      </c>
      <c r="D1429" s="99" t="s">
        <v>147</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https://www.comunidad.madrid/hospital/elescorial/buscar?search_api_fulltext=&amp;nombre=</v>
      </c>
      <c r="D1430" s="99" t="s">
        <v>147</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https://www.comunidad.madrid/hospital/elescorial/declaracion-accesibilidad</v>
      </c>
      <c r="D1431" s="99" t="s">
        <v>147</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v>
      </c>
      <c r="C1432" s="85" t="str" cm="1">
        <f t="array" ref="C1432">IFERROR(INDEX('03.Muestra'!$F$8:$F$42,SMALL(IF("Página Web"='03.Muestra'!$D$8:$D$42,ROW('03.Muestra'!$F$8:$F$42)-MIN(ROW('03.Muestra'!$D$8:$D$42))+1,""),ROW()-1424)),"")</f>
        <v>https://www.comunidad.madrid/hospital/elescorial/ciudadanos/aviso-legal-privacidad</v>
      </c>
      <c r="D1432" s="99" t="s">
        <v>147</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SITIO</v>
      </c>
      <c r="C1433" s="85" t="str" cm="1">
        <f t="array" ref="C1433">IFERROR(INDEX('03.Muestra'!$F$8:$F$42,SMALL(IF("Página Web"='03.Muestra'!$D$8:$D$42,ROW('03.Muestra'!$F$8:$F$42)-MIN(ROW('03.Muestra'!$D$8:$D$42))+1,""),ROW()-1424)),"")</f>
        <v>https://www.comunidad.madrid/hospital/elescorial/sitemap</v>
      </c>
      <c r="D1433" s="99" t="s">
        <v>147</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VIDEOTECA</v>
      </c>
      <c r="C1434" s="85" t="str" cm="1">
        <f t="array" ref="C1434">IFERROR(INDEX('03.Muestra'!$F$8:$F$42,SMALL(IF("Página Web"='03.Muestra'!$D$8:$D$42,ROW('03.Muestra'!$F$8:$F$42)-MIN(ROW('03.Muestra'!$D$8:$D$42))+1,""),ROW()-1424)),"")</f>
        <v>https://www.comunidad.madrid/hospital/elescorial/comunicacion/videoteca</v>
      </c>
      <c r="D1434" s="99" t="s">
        <v>147</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ref="D1435:D1459" si="75">IF(AND(B1435&lt;&gt;"",C1435&lt;&gt;""),"N/T","")</f>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144</v>
      </c>
      <c r="B1462" s="23" t="s">
        <v>136</v>
      </c>
      <c r="C1462" s="24" t="s">
        <v>225</v>
      </c>
      <c r="D1462" s="25" t="s">
        <v>146</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https://www.comunidad.madrid/hospital/elescorial/</v>
      </c>
      <c r="D1463" s="99" t="s">
        <v>137</v>
      </c>
      <c r="E1463" s="79" t="str">
        <f t="shared" ref="E1463:E1497" si="76">IF(D1463&lt;&gt;"",IF(AND(B1463&lt;&gt;"",C1463&lt;&gt;""),"","ERR"),"")</f>
        <v/>
      </c>
      <c r="F1463" s="86" t="s">
        <v>148</v>
      </c>
      <c r="G1463" s="87" t="s">
        <v>149</v>
      </c>
      <c r="H1463" s="88" t="s">
        <v>147</v>
      </c>
      <c r="I1463" s="89" t="s">
        <v>139</v>
      </c>
      <c r="J1463" s="90" t="s">
        <v>137</v>
      </c>
      <c r="K1463" s="179" t="s">
        <v>143</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https://www.comunidad.madrid/hospital/elescorial/ciudadanos</v>
      </c>
      <c r="D1464" s="99" t="s">
        <v>137</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https://www.comunidad.madrid/hospital/elescorial/profesionales</v>
      </c>
      <c r="D1465" s="99" t="s">
        <v>137</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https://www.comunidad.madrid/hospital/elescorial/comunicación</v>
      </c>
      <c r="D1466" s="99" t="s">
        <v>137</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https://www.comunidad.madrid/hospital/elescorial/nosotros</v>
      </c>
      <c r="D1467" s="99" t="s">
        <v>137</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https://www.comunidad.madrid/hospital/elescorial/buscar?search_api_fulltext=&amp;nombre=</v>
      </c>
      <c r="D1468" s="99" t="s">
        <v>137</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https://www.comunidad.madrid/hospital/elescorial/declaracion-accesibilidad</v>
      </c>
      <c r="D1469" s="99" t="s">
        <v>137</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v>
      </c>
      <c r="C1470" s="85" t="str" cm="1">
        <f t="array" ref="C1470">IFERROR(INDEX('03.Muestra'!$F$8:$F$42,SMALL(IF("Página Web"='03.Muestra'!$D$8:$D$42,ROW('03.Muestra'!$F$8:$F$42)-MIN(ROW('03.Muestra'!$D$8:$D$42))+1,""),ROW()-1462)),"")</f>
        <v>https://www.comunidad.madrid/hospital/elescorial/ciudadanos/aviso-legal-privacidad</v>
      </c>
      <c r="D1470" s="99" t="s">
        <v>137</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SITIO</v>
      </c>
      <c r="C1471" s="85" t="str" cm="1">
        <f t="array" ref="C1471">IFERROR(INDEX('03.Muestra'!$F$8:$F$42,SMALL(IF("Página Web"='03.Muestra'!$D$8:$D$42,ROW('03.Muestra'!$F$8:$F$42)-MIN(ROW('03.Muestra'!$D$8:$D$42))+1,""),ROW()-1462)),"")</f>
        <v>https://www.comunidad.madrid/hospital/elescorial/sitemap</v>
      </c>
      <c r="D1471" s="99" t="s">
        <v>137</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VIDEOTECA</v>
      </c>
      <c r="C1472" s="85" t="str" cm="1">
        <f t="array" ref="C1472">IFERROR(INDEX('03.Muestra'!$F$8:$F$42,SMALL(IF("Página Web"='03.Muestra'!$D$8:$D$42,ROW('03.Muestra'!$F$8:$F$42)-MIN(ROW('03.Muestra'!$D$8:$D$42))+1,""),ROW()-1462)),"")</f>
        <v>https://www.comunidad.madrid/hospital/elescorial/comunicacion/videoteca</v>
      </c>
      <c r="D1472" s="99" t="s">
        <v>137</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ref="D1473:D1497" si="77">IF(AND(B1473&lt;&gt;"",C1473&lt;&gt;""),"N/T","")</f>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144</v>
      </c>
      <c r="B1500" s="23" t="s">
        <v>136</v>
      </c>
      <c r="C1500" s="24" t="s">
        <v>226</v>
      </c>
      <c r="D1500" s="25" t="s">
        <v>146</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https://www.comunidad.madrid/hospital/elescorial/</v>
      </c>
      <c r="D1501" s="99" t="s">
        <v>137</v>
      </c>
      <c r="E1501" s="79" t="str">
        <f t="shared" ref="E1501:E1535" si="78">IF(D1501&lt;&gt;"",IF(AND(B1501&lt;&gt;"",C1501&lt;&gt;""),"","ERR"),"")</f>
        <v/>
      </c>
      <c r="F1501" s="86" t="s">
        <v>148</v>
      </c>
      <c r="G1501" s="87" t="s">
        <v>149</v>
      </c>
      <c r="H1501" s="88" t="s">
        <v>147</v>
      </c>
      <c r="I1501" s="89" t="s">
        <v>139</v>
      </c>
      <c r="J1501" s="90" t="s">
        <v>137</v>
      </c>
      <c r="K1501" s="179" t="s">
        <v>143</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https://www.comunidad.madrid/hospital/elescorial/ciudadanos</v>
      </c>
      <c r="D1502" s="99" t="s">
        <v>137</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https://www.comunidad.madrid/hospital/elescorial/profesionales</v>
      </c>
      <c r="D1503" s="99" t="s">
        <v>137</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https://www.comunidad.madrid/hospital/elescorial/comunicación</v>
      </c>
      <c r="D1504" s="99" t="s">
        <v>137</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https://www.comunidad.madrid/hospital/elescorial/nosotros</v>
      </c>
      <c r="D1505" s="99" t="s">
        <v>137</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https://www.comunidad.madrid/hospital/elescorial/buscar?search_api_fulltext=&amp;nombre=</v>
      </c>
      <c r="D1506" s="99" t="s">
        <v>137</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https://www.comunidad.madrid/hospital/elescorial/declaracion-accesibilidad</v>
      </c>
      <c r="D1507" s="99" t="s">
        <v>137</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v>
      </c>
      <c r="C1508" s="85" t="str" cm="1">
        <f t="array" ref="C1508">IFERROR(INDEX('03.Muestra'!$F$8:$F$42,SMALL(IF("Página Web"='03.Muestra'!$D$8:$D$42,ROW('03.Muestra'!$F$8:$F$42)-MIN(ROW('03.Muestra'!$D$8:$D$42))+1,""),ROW()-1500)),"")</f>
        <v>https://www.comunidad.madrid/hospital/elescorial/ciudadanos/aviso-legal-privacidad</v>
      </c>
      <c r="D1508" s="99" t="s">
        <v>137</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SITIO</v>
      </c>
      <c r="C1509" s="85" t="str" cm="1">
        <f t="array" ref="C1509">IFERROR(INDEX('03.Muestra'!$F$8:$F$42,SMALL(IF("Página Web"='03.Muestra'!$D$8:$D$42,ROW('03.Muestra'!$F$8:$F$42)-MIN(ROW('03.Muestra'!$D$8:$D$42))+1,""),ROW()-1500)),"")</f>
        <v>https://www.comunidad.madrid/hospital/elescorial/sitemap</v>
      </c>
      <c r="D1509" s="99" t="s">
        <v>137</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VIDEOTECA</v>
      </c>
      <c r="C1510" s="85" t="str" cm="1">
        <f t="array" ref="C1510">IFERROR(INDEX('03.Muestra'!$F$8:$F$42,SMALL(IF("Página Web"='03.Muestra'!$D$8:$D$42,ROW('03.Muestra'!$F$8:$F$42)-MIN(ROW('03.Muestra'!$D$8:$D$42))+1,""),ROW()-1500)),"")</f>
        <v>https://www.comunidad.madrid/hospital/elescorial/comunicacion/videoteca</v>
      </c>
      <c r="D1510" s="99" t="s">
        <v>137</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ref="D1511:D1535" si="79">IF(AND(B1511&lt;&gt;"",C1511&lt;&gt;""),"N/T","")</f>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144</v>
      </c>
      <c r="B1538" s="23" t="s">
        <v>136</v>
      </c>
      <c r="C1538" s="24" t="s">
        <v>227</v>
      </c>
      <c r="D1538" s="25" t="s">
        <v>146</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https://www.comunidad.madrid/hospital/elescorial/</v>
      </c>
      <c r="D1539" s="99" t="s">
        <v>137</v>
      </c>
      <c r="E1539" s="79" t="str">
        <f t="shared" ref="E1539:E1573" si="80">IF(D1539&lt;&gt;"",IF(AND(B1539&lt;&gt;"",C1539&lt;&gt;""),"","ERR"),"")</f>
        <v/>
      </c>
      <c r="F1539" s="86" t="s">
        <v>148</v>
      </c>
      <c r="G1539" s="87" t="s">
        <v>149</v>
      </c>
      <c r="H1539" s="88" t="s">
        <v>147</v>
      </c>
      <c r="I1539" s="89" t="s">
        <v>139</v>
      </c>
      <c r="J1539" s="90" t="s">
        <v>137</v>
      </c>
      <c r="K1539" s="179" t="s">
        <v>143</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https://www.comunidad.madrid/hospital/elescorial/ciudadanos</v>
      </c>
      <c r="D1540" s="99" t="s">
        <v>137</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https://www.comunidad.madrid/hospital/elescorial/profesionales</v>
      </c>
      <c r="D1541" s="99" t="s">
        <v>137</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https://www.comunidad.madrid/hospital/elescorial/comunicación</v>
      </c>
      <c r="D1542" s="99" t="s">
        <v>137</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https://www.comunidad.madrid/hospital/elescorial/nosotros</v>
      </c>
      <c r="D1543" s="99" t="s">
        <v>137</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https://www.comunidad.madrid/hospital/elescorial/buscar?search_api_fulltext=&amp;nombre=</v>
      </c>
      <c r="D1544" s="99" t="s">
        <v>137</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https://www.comunidad.madrid/hospital/elescorial/declaracion-accesibilidad</v>
      </c>
      <c r="D1545" s="99" t="s">
        <v>137</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v>
      </c>
      <c r="C1546" s="85" t="str" cm="1">
        <f t="array" ref="C1546">IFERROR(INDEX('03.Muestra'!$F$8:$F$42,SMALL(IF("Página Web"='03.Muestra'!$D$8:$D$42,ROW('03.Muestra'!$F$8:$F$42)-MIN(ROW('03.Muestra'!$D$8:$D$42))+1,""),ROW()-1538)),"")</f>
        <v>https://www.comunidad.madrid/hospital/elescorial/ciudadanos/aviso-legal-privacidad</v>
      </c>
      <c r="D1546" s="99" t="s">
        <v>137</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SITIO</v>
      </c>
      <c r="C1547" s="85" t="str" cm="1">
        <f t="array" ref="C1547">IFERROR(INDEX('03.Muestra'!$F$8:$F$42,SMALL(IF("Página Web"='03.Muestra'!$D$8:$D$42,ROW('03.Muestra'!$F$8:$F$42)-MIN(ROW('03.Muestra'!$D$8:$D$42))+1,""),ROW()-1538)),"")</f>
        <v>https://www.comunidad.madrid/hospital/elescorial/sitemap</v>
      </c>
      <c r="D1547" s="99" t="s">
        <v>137</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VIDEOTECA</v>
      </c>
      <c r="C1548" s="85" t="str" cm="1">
        <f t="array" ref="C1548">IFERROR(INDEX('03.Muestra'!$F$8:$F$42,SMALL(IF("Página Web"='03.Muestra'!$D$8:$D$42,ROW('03.Muestra'!$F$8:$F$42)-MIN(ROW('03.Muestra'!$D$8:$D$42))+1,""),ROW()-1538)),"")</f>
        <v>https://www.comunidad.madrid/hospital/elescorial/comunicacion/videoteca</v>
      </c>
      <c r="D1548" s="99" t="s">
        <v>137</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ref="D1549:D1573" si="81">IF(AND(B1549&lt;&gt;"",C1549&lt;&gt;""),"N/T","")</f>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144</v>
      </c>
      <c r="B1576" s="23" t="s">
        <v>136</v>
      </c>
      <c r="C1576" s="24" t="s">
        <v>228</v>
      </c>
      <c r="D1576" s="25" t="s">
        <v>146</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https://www.comunidad.madrid/hospital/elescorial/</v>
      </c>
      <c r="D1577" s="99" t="s">
        <v>137</v>
      </c>
      <c r="E1577" s="79" t="str">
        <f t="shared" ref="E1577:E1611" si="82">IF(D1577&lt;&gt;"",IF(AND(B1577&lt;&gt;"",C1577&lt;&gt;""),"","ERR"),"")</f>
        <v/>
      </c>
      <c r="F1577" s="86" t="s">
        <v>148</v>
      </c>
      <c r="G1577" s="87" t="s">
        <v>149</v>
      </c>
      <c r="H1577" s="88" t="s">
        <v>147</v>
      </c>
      <c r="I1577" s="89" t="s">
        <v>139</v>
      </c>
      <c r="J1577" s="90" t="s">
        <v>137</v>
      </c>
      <c r="K1577" s="179" t="s">
        <v>143</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https://www.comunidad.madrid/hospital/elescorial/ciudadanos</v>
      </c>
      <c r="D1578" s="99" t="s">
        <v>137</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https://www.comunidad.madrid/hospital/elescorial/profesionales</v>
      </c>
      <c r="D1579" s="99" t="s">
        <v>137</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https://www.comunidad.madrid/hospital/elescorial/comunicación</v>
      </c>
      <c r="D1580" s="99" t="s">
        <v>137</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https://www.comunidad.madrid/hospital/elescorial/nosotros</v>
      </c>
      <c r="D1581" s="99" t="s">
        <v>137</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https://www.comunidad.madrid/hospital/elescorial/buscar?search_api_fulltext=&amp;nombre=</v>
      </c>
      <c r="D1582" s="99" t="s">
        <v>137</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https://www.comunidad.madrid/hospital/elescorial/declaracion-accesibilidad</v>
      </c>
      <c r="D1583" s="99" t="s">
        <v>137</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v>
      </c>
      <c r="C1584" s="85" t="str" cm="1">
        <f t="array" ref="C1584">IFERROR(INDEX('03.Muestra'!$F$8:$F$42,SMALL(IF("Página Web"='03.Muestra'!$D$8:$D$42,ROW('03.Muestra'!$F$8:$F$42)-MIN(ROW('03.Muestra'!$D$8:$D$42))+1,""),ROW()-1576)),"")</f>
        <v>https://www.comunidad.madrid/hospital/elescorial/ciudadanos/aviso-legal-privacidad</v>
      </c>
      <c r="D1584" s="99" t="s">
        <v>137</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SITIO</v>
      </c>
      <c r="C1585" s="85" t="str" cm="1">
        <f t="array" ref="C1585">IFERROR(INDEX('03.Muestra'!$F$8:$F$42,SMALL(IF("Página Web"='03.Muestra'!$D$8:$D$42,ROW('03.Muestra'!$F$8:$F$42)-MIN(ROW('03.Muestra'!$D$8:$D$42))+1,""),ROW()-1576)),"")</f>
        <v>https://www.comunidad.madrid/hospital/elescorial/sitemap</v>
      </c>
      <c r="D1585" s="99" t="s">
        <v>137</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VIDEOTECA</v>
      </c>
      <c r="C1586" s="85" t="str" cm="1">
        <f t="array" ref="C1586">IFERROR(INDEX('03.Muestra'!$F$8:$F$42,SMALL(IF("Página Web"='03.Muestra'!$D$8:$D$42,ROW('03.Muestra'!$F$8:$F$42)-MIN(ROW('03.Muestra'!$D$8:$D$42))+1,""),ROW()-1576)),"")</f>
        <v>https://www.comunidad.madrid/hospital/elescorial/comunicacion/videoteca</v>
      </c>
      <c r="D1586" s="99" t="s">
        <v>137</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ref="D1587:D1611" si="83">IF(AND(B1587&lt;&gt;"",C1587&lt;&gt;""),"N/T","")</f>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144</v>
      </c>
      <c r="B1614" s="23" t="s">
        <v>136</v>
      </c>
      <c r="C1614" s="24" t="s">
        <v>229</v>
      </c>
      <c r="D1614" s="25" t="s">
        <v>146</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https://www.comunidad.madrid/hospital/elescorial/</v>
      </c>
      <c r="D1615" s="99" t="s">
        <v>147</v>
      </c>
      <c r="E1615" s="79" t="str">
        <f t="shared" ref="E1615:E1649" si="84">IF(D1615&lt;&gt;"",IF(AND(B1615&lt;&gt;"",C1615&lt;&gt;""),"","ERR"),"")</f>
        <v/>
      </c>
      <c r="F1615" s="86" t="s">
        <v>148</v>
      </c>
      <c r="G1615" s="87" t="s">
        <v>149</v>
      </c>
      <c r="H1615" s="88" t="s">
        <v>147</v>
      </c>
      <c r="I1615" s="89" t="s">
        <v>139</v>
      </c>
      <c r="J1615" s="90" t="s">
        <v>137</v>
      </c>
      <c r="K1615" s="179" t="s">
        <v>143</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https://www.comunidad.madrid/hospital/elescorial/ciudadanos</v>
      </c>
      <c r="D1616" s="99" t="s">
        <v>147</v>
      </c>
      <c r="E1616" s="79" t="str">
        <f t="shared" si="84"/>
        <v/>
      </c>
      <c r="F1616" s="91">
        <f ca="1">COUNTIF($D1615:INDIRECT("$D" &amp;  SUM(ROW()-1,'03.Muestra'!$D$45)-1),F1615)</f>
        <v>0</v>
      </c>
      <c r="G1616" s="91">
        <f ca="1">COUNTIF($D1615:INDIRECT("$D" &amp;  SUM(ROW()-1,'03.Muestra'!$D$45)-1),G1615)</f>
        <v>0</v>
      </c>
      <c r="H1616" s="91">
        <f ca="1">COUNTIF($D1615:INDIRECT("$D" &amp;  SUM(ROW()-1,'03.Muestra'!$D$45)-1),H1615)</f>
        <v>10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https://www.comunidad.madrid/hospital/elescorial/profesionales</v>
      </c>
      <c r="D1617" s="99" t="s">
        <v>147</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https://www.comunidad.madrid/hospital/elescorial/comunicación</v>
      </c>
      <c r="D1618" s="99" t="s">
        <v>147</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https://www.comunidad.madrid/hospital/elescorial/nosotros</v>
      </c>
      <c r="D1619" s="99" t="s">
        <v>147</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https://www.comunidad.madrid/hospital/elescorial/buscar?search_api_fulltext=&amp;nombre=</v>
      </c>
      <c r="D1620" s="99" t="s">
        <v>147</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https://www.comunidad.madrid/hospital/elescorial/declaracion-accesibilidad</v>
      </c>
      <c r="D1621" s="99" t="s">
        <v>147</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v>
      </c>
      <c r="C1622" s="85" t="str" cm="1">
        <f t="array" ref="C1622">IFERROR(INDEX('03.Muestra'!$F$8:$F$42,SMALL(IF("Página Web"='03.Muestra'!$D$8:$D$42,ROW('03.Muestra'!$F$8:$F$42)-MIN(ROW('03.Muestra'!$D$8:$D$42))+1,""),ROW()-1614)),"")</f>
        <v>https://www.comunidad.madrid/hospital/elescorial/ciudadanos/aviso-legal-privacidad</v>
      </c>
      <c r="D1622" s="99" t="s">
        <v>147</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SITIO</v>
      </c>
      <c r="C1623" s="85" t="str" cm="1">
        <f t="array" ref="C1623">IFERROR(INDEX('03.Muestra'!$F$8:$F$42,SMALL(IF("Página Web"='03.Muestra'!$D$8:$D$42,ROW('03.Muestra'!$F$8:$F$42)-MIN(ROW('03.Muestra'!$D$8:$D$42))+1,""),ROW()-1614)),"")</f>
        <v>https://www.comunidad.madrid/hospital/elescorial/sitemap</v>
      </c>
      <c r="D1623" s="99" t="s">
        <v>147</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VIDEOTECA</v>
      </c>
      <c r="C1624" s="85" t="str" cm="1">
        <f t="array" ref="C1624">IFERROR(INDEX('03.Muestra'!$F$8:$F$42,SMALL(IF("Página Web"='03.Muestra'!$D$8:$D$42,ROW('03.Muestra'!$F$8:$F$42)-MIN(ROW('03.Muestra'!$D$8:$D$42))+1,""),ROW()-1614)),"")</f>
        <v>https://www.comunidad.madrid/hospital/elescorial/comunicacion/videoteca</v>
      </c>
      <c r="D1624" s="99" t="s">
        <v>147</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ref="D1625:D1649" si="85">IF(AND(B1625&lt;&gt;"",C1625&lt;&gt;""),"N/T","")</f>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144</v>
      </c>
      <c r="B1652" s="23" t="s">
        <v>136</v>
      </c>
      <c r="C1652" s="24" t="s">
        <v>230</v>
      </c>
      <c r="D1652" s="25" t="s">
        <v>146</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https://www.comunidad.madrid/hospital/elescorial/</v>
      </c>
      <c r="D1653" s="99" t="s">
        <v>147</v>
      </c>
      <c r="E1653" s="79" t="str">
        <f t="shared" ref="E1653:E1687" si="86">IF(D1653&lt;&gt;"",IF(AND(B1653&lt;&gt;"",C1653&lt;&gt;""),"","ERR"),"")</f>
        <v/>
      </c>
      <c r="F1653" s="86" t="s">
        <v>148</v>
      </c>
      <c r="G1653" s="87" t="s">
        <v>149</v>
      </c>
      <c r="H1653" s="88" t="s">
        <v>147</v>
      </c>
      <c r="I1653" s="89" t="s">
        <v>139</v>
      </c>
      <c r="J1653" s="90" t="s">
        <v>137</v>
      </c>
      <c r="K1653" s="179" t="s">
        <v>143</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https://www.comunidad.madrid/hospital/elescorial/ciudadanos</v>
      </c>
      <c r="D1654" s="99" t="s">
        <v>147</v>
      </c>
      <c r="E1654" s="79" t="str">
        <f t="shared" si="86"/>
        <v/>
      </c>
      <c r="F1654" s="91">
        <f ca="1">COUNTIF($D1653:INDIRECT("$D" &amp;  SUM(ROW()-1,'03.Muestra'!$D$45)-1),F1653)</f>
        <v>0</v>
      </c>
      <c r="G1654" s="91">
        <f ca="1">COUNTIF($D1653:INDIRECT("$D" &amp;  SUM(ROW()-1,'03.Muestra'!$D$45)-1),G1653)</f>
        <v>0</v>
      </c>
      <c r="H1654" s="91">
        <f ca="1">COUNTIF($D1653:INDIRECT("$D" &amp;  SUM(ROW()-1,'03.Muestra'!$D$45)-1),H1653)</f>
        <v>10</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https://www.comunidad.madrid/hospital/elescorial/profesionales</v>
      </c>
      <c r="D1655" s="99" t="s">
        <v>147</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https://www.comunidad.madrid/hospital/elescorial/comunicación</v>
      </c>
      <c r="D1656" s="99" t="s">
        <v>147</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https://www.comunidad.madrid/hospital/elescorial/nosotros</v>
      </c>
      <c r="D1657" s="99" t="s">
        <v>147</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https://www.comunidad.madrid/hospital/elescorial/buscar?search_api_fulltext=&amp;nombre=</v>
      </c>
      <c r="D1658" s="99" t="s">
        <v>147</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https://www.comunidad.madrid/hospital/elescorial/declaracion-accesibilidad</v>
      </c>
      <c r="D1659" s="99" t="s">
        <v>147</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v>
      </c>
      <c r="C1660" s="85" t="str" cm="1">
        <f t="array" ref="C1660">IFERROR(INDEX('03.Muestra'!$F$8:$F$42,SMALL(IF("Página Web"='03.Muestra'!$D$8:$D$42,ROW('03.Muestra'!$F$8:$F$42)-MIN(ROW('03.Muestra'!$D$8:$D$42))+1,""),ROW()-1652)),"")</f>
        <v>https://www.comunidad.madrid/hospital/elescorial/ciudadanos/aviso-legal-privacidad</v>
      </c>
      <c r="D1660" s="99" t="s">
        <v>147</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SITIO</v>
      </c>
      <c r="C1661" s="85" t="str" cm="1">
        <f t="array" ref="C1661">IFERROR(INDEX('03.Muestra'!$F$8:$F$42,SMALL(IF("Página Web"='03.Muestra'!$D$8:$D$42,ROW('03.Muestra'!$F$8:$F$42)-MIN(ROW('03.Muestra'!$D$8:$D$42))+1,""),ROW()-1652)),"")</f>
        <v>https://www.comunidad.madrid/hospital/elescorial/sitemap</v>
      </c>
      <c r="D1661" s="99" t="s">
        <v>147</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VIDEOTECA</v>
      </c>
      <c r="C1662" s="85" t="str" cm="1">
        <f t="array" ref="C1662">IFERROR(INDEX('03.Muestra'!$F$8:$F$42,SMALL(IF("Página Web"='03.Muestra'!$D$8:$D$42,ROW('03.Muestra'!$F$8:$F$42)-MIN(ROW('03.Muestra'!$D$8:$D$42))+1,""),ROW()-1652)),"")</f>
        <v>https://www.comunidad.madrid/hospital/elescorial/comunicacion/videoteca</v>
      </c>
      <c r="D1662" s="99" t="s">
        <v>147</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ref="D1663:D1687" si="87">IF(AND(B1663&lt;&gt;"",C1663&lt;&gt;""),"N/T","")</f>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144</v>
      </c>
      <c r="B1690" s="23" t="s">
        <v>136</v>
      </c>
      <c r="C1690" s="24" t="s">
        <v>231</v>
      </c>
      <c r="D1690" s="25" t="s">
        <v>146</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https://www.comunidad.madrid/hospital/elescorial/</v>
      </c>
      <c r="D1691" s="99" t="s">
        <v>147</v>
      </c>
      <c r="E1691" s="79" t="str">
        <f t="shared" ref="E1691:E1725" si="88">IF(D1691&lt;&gt;"",IF(AND(B1691&lt;&gt;"",C1691&lt;&gt;""),"","ERR"),"")</f>
        <v/>
      </c>
      <c r="F1691" s="86" t="s">
        <v>148</v>
      </c>
      <c r="G1691" s="87" t="s">
        <v>149</v>
      </c>
      <c r="H1691" s="88" t="s">
        <v>147</v>
      </c>
      <c r="I1691" s="89" t="s">
        <v>139</v>
      </c>
      <c r="J1691" s="90" t="s">
        <v>137</v>
      </c>
      <c r="K1691" s="179" t="s">
        <v>143</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https://www.comunidad.madrid/hospital/elescorial/ciudadanos</v>
      </c>
      <c r="D1692" s="99" t="s">
        <v>147</v>
      </c>
      <c r="E1692" s="79" t="str">
        <f t="shared" si="88"/>
        <v/>
      </c>
      <c r="F1692" s="91">
        <f ca="1">COUNTIF($D1691:INDIRECT("$D" &amp;  SUM(ROW()-1,'03.Muestra'!$D$45)-1),F1691)</f>
        <v>0</v>
      </c>
      <c r="G1692" s="91">
        <f ca="1">COUNTIF($D1691:INDIRECT("$D" &amp;  SUM(ROW()-1,'03.Muestra'!$D$45)-1),G1691)</f>
        <v>0</v>
      </c>
      <c r="H1692" s="91">
        <f ca="1">COUNTIF($D1691:INDIRECT("$D" &amp;  SUM(ROW()-1,'03.Muestra'!$D$45)-1),H1691)</f>
        <v>10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https://www.comunidad.madrid/hospital/elescorial/profesionales</v>
      </c>
      <c r="D1693" s="99" t="s">
        <v>147</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https://www.comunidad.madrid/hospital/elescorial/comunicación</v>
      </c>
      <c r="D1694" s="99" t="s">
        <v>147</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https://www.comunidad.madrid/hospital/elescorial/nosotros</v>
      </c>
      <c r="D1695" s="99" t="s">
        <v>147</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https://www.comunidad.madrid/hospital/elescorial/buscar?search_api_fulltext=&amp;nombre=</v>
      </c>
      <c r="D1696" s="99" t="s">
        <v>147</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https://www.comunidad.madrid/hospital/elescorial/declaracion-accesibilidad</v>
      </c>
      <c r="D1697" s="99" t="s">
        <v>147</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v>
      </c>
      <c r="C1698" s="85" t="str" cm="1">
        <f t="array" ref="C1698">IFERROR(INDEX('03.Muestra'!$F$8:$F$42,SMALL(IF("Página Web"='03.Muestra'!$D$8:$D$42,ROW('03.Muestra'!$F$8:$F$42)-MIN(ROW('03.Muestra'!$D$8:$D$42))+1,""),ROW()-1690)),"")</f>
        <v>https://www.comunidad.madrid/hospital/elescorial/ciudadanos/aviso-legal-privacidad</v>
      </c>
      <c r="D1698" s="99" t="s">
        <v>147</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SITIO</v>
      </c>
      <c r="C1699" s="85" t="str" cm="1">
        <f t="array" ref="C1699">IFERROR(INDEX('03.Muestra'!$F$8:$F$42,SMALL(IF("Página Web"='03.Muestra'!$D$8:$D$42,ROW('03.Muestra'!$F$8:$F$42)-MIN(ROW('03.Muestra'!$D$8:$D$42))+1,""),ROW()-1690)),"")</f>
        <v>https://www.comunidad.madrid/hospital/elescorial/sitemap</v>
      </c>
      <c r="D1699" s="99" t="s">
        <v>147</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VIDEOTECA</v>
      </c>
      <c r="C1700" s="85" t="str" cm="1">
        <f t="array" ref="C1700">IFERROR(INDEX('03.Muestra'!$F$8:$F$42,SMALL(IF("Página Web"='03.Muestra'!$D$8:$D$42,ROW('03.Muestra'!$F$8:$F$42)-MIN(ROW('03.Muestra'!$D$8:$D$42))+1,""),ROW()-1690)),"")</f>
        <v>https://www.comunidad.madrid/hospital/elescorial/comunicacion/videoteca</v>
      </c>
      <c r="D1700" s="99" t="s">
        <v>147</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ref="D1701:D1725" si="89">IF(AND(B1701&lt;&gt;"",C1701&lt;&gt;""),"N/T","")</f>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144</v>
      </c>
      <c r="B1728" s="23" t="s">
        <v>136</v>
      </c>
      <c r="C1728" s="24" t="s">
        <v>232</v>
      </c>
      <c r="D1728" s="25" t="s">
        <v>146</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https://www.comunidad.madrid/hospital/elescorial/</v>
      </c>
      <c r="D1729" s="99" t="s">
        <v>147</v>
      </c>
      <c r="E1729" s="79" t="str">
        <f t="shared" ref="E1729:E1763" si="90">IF(D1729&lt;&gt;"",IF(AND(B1729&lt;&gt;"",C1729&lt;&gt;""),"","ERR"),"")</f>
        <v/>
      </c>
      <c r="F1729" s="86" t="s">
        <v>148</v>
      </c>
      <c r="G1729" s="87" t="s">
        <v>149</v>
      </c>
      <c r="H1729" s="88" t="s">
        <v>147</v>
      </c>
      <c r="I1729" s="89" t="s">
        <v>139</v>
      </c>
      <c r="J1729" s="90" t="s">
        <v>137</v>
      </c>
      <c r="K1729" s="179" t="s">
        <v>143</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https://www.comunidad.madrid/hospital/elescorial/ciudadanos</v>
      </c>
      <c r="D1730" s="99" t="s">
        <v>147</v>
      </c>
      <c r="E1730" s="79" t="str">
        <f t="shared" si="90"/>
        <v/>
      </c>
      <c r="F1730" s="91">
        <f ca="1">COUNTIF($D1729:INDIRECT("$D" &amp;  SUM(ROW()-1,'03.Muestra'!$D$45)-1),F1729)</f>
        <v>0</v>
      </c>
      <c r="G1730" s="91">
        <f ca="1">COUNTIF($D1729:INDIRECT("$D" &amp;  SUM(ROW()-1,'03.Muestra'!$D$45)-1),G1729)</f>
        <v>0</v>
      </c>
      <c r="H1730" s="91">
        <f ca="1">COUNTIF($D1729:INDIRECT("$D" &amp;  SUM(ROW()-1,'03.Muestra'!$D$45)-1),H1729)</f>
        <v>10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https://www.comunidad.madrid/hospital/elescorial/profesionales</v>
      </c>
      <c r="D1731" s="99" t="s">
        <v>147</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https://www.comunidad.madrid/hospital/elescorial/comunicación</v>
      </c>
      <c r="D1732" s="99" t="s">
        <v>147</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https://www.comunidad.madrid/hospital/elescorial/nosotros</v>
      </c>
      <c r="D1733" s="99" t="s">
        <v>147</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https://www.comunidad.madrid/hospital/elescorial/buscar?search_api_fulltext=&amp;nombre=</v>
      </c>
      <c r="D1734" s="99" t="s">
        <v>147</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https://www.comunidad.madrid/hospital/elescorial/declaracion-accesibilidad</v>
      </c>
      <c r="D1735" s="99" t="s">
        <v>147</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v>
      </c>
      <c r="C1736" s="85" t="str" cm="1">
        <f t="array" ref="C1736">IFERROR(INDEX('03.Muestra'!$F$8:$F$42,SMALL(IF("Página Web"='03.Muestra'!$D$8:$D$42,ROW('03.Muestra'!$F$8:$F$42)-MIN(ROW('03.Muestra'!$D$8:$D$42))+1,""),ROW()-1728)),"")</f>
        <v>https://www.comunidad.madrid/hospital/elescorial/ciudadanos/aviso-legal-privacidad</v>
      </c>
      <c r="D1736" s="99" t="s">
        <v>147</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SITIO</v>
      </c>
      <c r="C1737" s="85" t="str" cm="1">
        <f t="array" ref="C1737">IFERROR(INDEX('03.Muestra'!$F$8:$F$42,SMALL(IF("Página Web"='03.Muestra'!$D$8:$D$42,ROW('03.Muestra'!$F$8:$F$42)-MIN(ROW('03.Muestra'!$D$8:$D$42))+1,""),ROW()-1728)),"")</f>
        <v>https://www.comunidad.madrid/hospital/elescorial/sitemap</v>
      </c>
      <c r="D1737" s="99" t="s">
        <v>147</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VIDEOTECA</v>
      </c>
      <c r="C1738" s="85" t="str" cm="1">
        <f t="array" ref="C1738">IFERROR(INDEX('03.Muestra'!$F$8:$F$42,SMALL(IF("Página Web"='03.Muestra'!$D$8:$D$42,ROW('03.Muestra'!$F$8:$F$42)-MIN(ROW('03.Muestra'!$D$8:$D$42))+1,""),ROW()-1728)),"")</f>
        <v>https://www.comunidad.madrid/hospital/elescorial/comunicacion/videoteca</v>
      </c>
      <c r="D1738" s="99" t="s">
        <v>147</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ref="D1739:D1763" si="91">IF(AND(B1739&lt;&gt;"",C1739&lt;&gt;""),"N/T","")</f>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144</v>
      </c>
      <c r="B1766" s="23" t="s">
        <v>136</v>
      </c>
      <c r="C1766" s="24" t="s">
        <v>233</v>
      </c>
      <c r="D1766" s="25" t="s">
        <v>146</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https://www.comunidad.madrid/hospital/elescorial/</v>
      </c>
      <c r="D1767" s="99" t="s">
        <v>137</v>
      </c>
      <c r="E1767" s="79" t="str">
        <f t="shared" ref="E1767:E1801" si="92">IF(D1767&lt;&gt;"",IF(AND(B1767&lt;&gt;"",C1767&lt;&gt;""),"","ERR"),"")</f>
        <v/>
      </c>
      <c r="F1767" s="86" t="s">
        <v>148</v>
      </c>
      <c r="G1767" s="87" t="s">
        <v>149</v>
      </c>
      <c r="H1767" s="88" t="s">
        <v>147</v>
      </c>
      <c r="I1767" s="89" t="s">
        <v>139</v>
      </c>
      <c r="J1767" s="90" t="s">
        <v>137</v>
      </c>
      <c r="K1767" s="179" t="s">
        <v>143</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https://www.comunidad.madrid/hospital/elescorial/ciudadanos</v>
      </c>
      <c r="D1768" s="99" t="s">
        <v>137</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https://www.comunidad.madrid/hospital/elescorial/profesionales</v>
      </c>
      <c r="D1769" s="99" t="s">
        <v>137</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https://www.comunidad.madrid/hospital/elescorial/comunicación</v>
      </c>
      <c r="D1770" s="99" t="s">
        <v>137</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https://www.comunidad.madrid/hospital/elescorial/nosotros</v>
      </c>
      <c r="D1771" s="99" t="s">
        <v>137</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https://www.comunidad.madrid/hospital/elescorial/buscar?search_api_fulltext=&amp;nombre=</v>
      </c>
      <c r="D1772" s="99" t="s">
        <v>137</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https://www.comunidad.madrid/hospital/elescorial/declaracion-accesibilidad</v>
      </c>
      <c r="D1773" s="99" t="s">
        <v>137</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v>
      </c>
      <c r="C1774" s="85" t="str" cm="1">
        <f t="array" ref="C1774">IFERROR(INDEX('03.Muestra'!$F$8:$F$42,SMALL(IF("Página Web"='03.Muestra'!$D$8:$D$42,ROW('03.Muestra'!$F$8:$F$42)-MIN(ROW('03.Muestra'!$D$8:$D$42))+1,""),ROW()-1766)),"")</f>
        <v>https://www.comunidad.madrid/hospital/elescorial/ciudadanos/aviso-legal-privacidad</v>
      </c>
      <c r="D1774" s="99" t="s">
        <v>137</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SITIO</v>
      </c>
      <c r="C1775" s="85" t="str" cm="1">
        <f t="array" ref="C1775">IFERROR(INDEX('03.Muestra'!$F$8:$F$42,SMALL(IF("Página Web"='03.Muestra'!$D$8:$D$42,ROW('03.Muestra'!$F$8:$F$42)-MIN(ROW('03.Muestra'!$D$8:$D$42))+1,""),ROW()-1766)),"")</f>
        <v>https://www.comunidad.madrid/hospital/elescorial/sitemap</v>
      </c>
      <c r="D1775" s="99" t="s">
        <v>137</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VIDEOTECA</v>
      </c>
      <c r="C1776" s="85" t="str" cm="1">
        <f t="array" ref="C1776">IFERROR(INDEX('03.Muestra'!$F$8:$F$42,SMALL(IF("Página Web"='03.Muestra'!$D$8:$D$42,ROW('03.Muestra'!$F$8:$F$42)-MIN(ROW('03.Muestra'!$D$8:$D$42))+1,""),ROW()-1766)),"")</f>
        <v>https://www.comunidad.madrid/hospital/elescorial/comunicacion/videoteca</v>
      </c>
      <c r="D1776" s="99" t="s">
        <v>137</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ref="D1777:D1801" si="93">IF(AND(B1777&lt;&gt;"",C1777&lt;&gt;""),"N/T","")</f>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144</v>
      </c>
      <c r="B1804" s="23" t="s">
        <v>136</v>
      </c>
      <c r="C1804" s="24" t="s">
        <v>234</v>
      </c>
      <c r="D1804" s="25" t="s">
        <v>146</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https://www.comunidad.madrid/hospital/elescorial/</v>
      </c>
      <c r="D1805" s="99" t="s">
        <v>137</v>
      </c>
      <c r="E1805" s="79" t="str">
        <f t="shared" ref="E1805:E1839" si="94">IF(D1805&lt;&gt;"",IF(AND(B1805&lt;&gt;"",C1805&lt;&gt;""),"","ERR"),"")</f>
        <v/>
      </c>
      <c r="F1805" s="86" t="s">
        <v>148</v>
      </c>
      <c r="G1805" s="87" t="s">
        <v>149</v>
      </c>
      <c r="H1805" s="88" t="s">
        <v>147</v>
      </c>
      <c r="I1805" s="89" t="s">
        <v>139</v>
      </c>
      <c r="J1805" s="90" t="s">
        <v>137</v>
      </c>
      <c r="K1805" s="179" t="s">
        <v>143</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https://www.comunidad.madrid/hospital/elescorial/ciudadanos</v>
      </c>
      <c r="D1806" s="99" t="s">
        <v>137</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https://www.comunidad.madrid/hospital/elescorial/profesionales</v>
      </c>
      <c r="D1807" s="99" t="s">
        <v>137</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https://www.comunidad.madrid/hospital/elescorial/comunicación</v>
      </c>
      <c r="D1808" s="99" t="s">
        <v>137</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https://www.comunidad.madrid/hospital/elescorial/nosotros</v>
      </c>
      <c r="D1809" s="99" t="s">
        <v>137</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https://www.comunidad.madrid/hospital/elescorial/buscar?search_api_fulltext=&amp;nombre=</v>
      </c>
      <c r="D1810" s="99" t="s">
        <v>137</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https://www.comunidad.madrid/hospital/elescorial/declaracion-accesibilidad</v>
      </c>
      <c r="D1811" s="99" t="s">
        <v>137</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v>
      </c>
      <c r="C1812" s="85" t="str" cm="1">
        <f t="array" ref="C1812">IFERROR(INDEX('03.Muestra'!$F$8:$F$42,SMALL(IF("Página Web"='03.Muestra'!$D$8:$D$42,ROW('03.Muestra'!$F$8:$F$42)-MIN(ROW('03.Muestra'!$D$8:$D$42))+1,""),ROW()-1804)),"")</f>
        <v>https://www.comunidad.madrid/hospital/elescorial/ciudadanos/aviso-legal-privacidad</v>
      </c>
      <c r="D1812" s="99" t="s">
        <v>137</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SITIO</v>
      </c>
      <c r="C1813" s="85" t="str" cm="1">
        <f t="array" ref="C1813">IFERROR(INDEX('03.Muestra'!$F$8:$F$42,SMALL(IF("Página Web"='03.Muestra'!$D$8:$D$42,ROW('03.Muestra'!$F$8:$F$42)-MIN(ROW('03.Muestra'!$D$8:$D$42))+1,""),ROW()-1804)),"")</f>
        <v>https://www.comunidad.madrid/hospital/elescorial/sitemap</v>
      </c>
      <c r="D1813" s="99" t="s">
        <v>137</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VIDEOTECA</v>
      </c>
      <c r="C1814" s="85" t="str" cm="1">
        <f t="array" ref="C1814">IFERROR(INDEX('03.Muestra'!$F$8:$F$42,SMALL(IF("Página Web"='03.Muestra'!$D$8:$D$42,ROW('03.Muestra'!$F$8:$F$42)-MIN(ROW('03.Muestra'!$D$8:$D$42))+1,""),ROW()-1804)),"")</f>
        <v>https://www.comunidad.madrid/hospital/elescorial/comunicacion/videoteca</v>
      </c>
      <c r="D1814" s="99" t="s">
        <v>137</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ref="D1815:D1839" si="95">IF(AND(B1815&lt;&gt;"",C1815&lt;&gt;""),"N/T","")</f>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144</v>
      </c>
      <c r="B1842" s="23" t="s">
        <v>136</v>
      </c>
      <c r="C1842" s="24" t="s">
        <v>235</v>
      </c>
      <c r="D1842" s="25" t="s">
        <v>146</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https://www.comunidad.madrid/hospital/elescorial/</v>
      </c>
      <c r="D1843" s="99" t="s">
        <v>147</v>
      </c>
      <c r="E1843" s="79" t="str">
        <f t="shared" ref="E1843:E1877" si="96">IF(D1843&lt;&gt;"",IF(AND(B1843&lt;&gt;"",C1843&lt;&gt;""),"","ERR"),"")</f>
        <v/>
      </c>
      <c r="F1843" s="86" t="s">
        <v>148</v>
      </c>
      <c r="G1843" s="87" t="s">
        <v>149</v>
      </c>
      <c r="H1843" s="88" t="s">
        <v>147</v>
      </c>
      <c r="I1843" s="89" t="s">
        <v>139</v>
      </c>
      <c r="J1843" s="90" t="s">
        <v>137</v>
      </c>
      <c r="K1843" s="179" t="s">
        <v>143</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https://www.comunidad.madrid/hospital/elescorial/ciudadanos</v>
      </c>
      <c r="D1844" s="99" t="s">
        <v>147</v>
      </c>
      <c r="E1844" s="79" t="str">
        <f t="shared" si="96"/>
        <v/>
      </c>
      <c r="F1844" s="91">
        <f ca="1">COUNTIF($D1843:INDIRECT("$D" &amp;  SUM(ROW()-1,'03.Muestra'!$D$45)-1),F1843)</f>
        <v>0</v>
      </c>
      <c r="G1844" s="91">
        <f ca="1">COUNTIF($D1843:INDIRECT("$D" &amp;  SUM(ROW()-1,'03.Muestra'!$D$45)-1),G1843)</f>
        <v>0</v>
      </c>
      <c r="H1844" s="91">
        <f ca="1">COUNTIF($D1843:INDIRECT("$D" &amp;  SUM(ROW()-1,'03.Muestra'!$D$45)-1),H1843)</f>
        <v>10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https://www.comunidad.madrid/hospital/elescorial/profesionales</v>
      </c>
      <c r="D1845" s="99" t="s">
        <v>147</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https://www.comunidad.madrid/hospital/elescorial/comunicación</v>
      </c>
      <c r="D1846" s="99" t="s">
        <v>147</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https://www.comunidad.madrid/hospital/elescorial/nosotros</v>
      </c>
      <c r="D1847" s="99" t="s">
        <v>147</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https://www.comunidad.madrid/hospital/elescorial/buscar?search_api_fulltext=&amp;nombre=</v>
      </c>
      <c r="D1848" s="99" t="s">
        <v>147</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https://www.comunidad.madrid/hospital/elescorial/declaracion-accesibilidad</v>
      </c>
      <c r="D1849" s="99" t="s">
        <v>147</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v>
      </c>
      <c r="C1850" s="85" t="str" cm="1">
        <f t="array" ref="C1850">IFERROR(INDEX('03.Muestra'!$F$8:$F$42,SMALL(IF("Página Web"='03.Muestra'!$D$8:$D$42,ROW('03.Muestra'!$F$8:$F$42)-MIN(ROW('03.Muestra'!$D$8:$D$42))+1,""),ROW()-1842)),"")</f>
        <v>https://www.comunidad.madrid/hospital/elescorial/ciudadanos/aviso-legal-privacidad</v>
      </c>
      <c r="D1850" s="99" t="s">
        <v>147</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SITIO</v>
      </c>
      <c r="C1851" s="85" t="str" cm="1">
        <f t="array" ref="C1851">IFERROR(INDEX('03.Muestra'!$F$8:$F$42,SMALL(IF("Página Web"='03.Muestra'!$D$8:$D$42,ROW('03.Muestra'!$F$8:$F$42)-MIN(ROW('03.Muestra'!$D$8:$D$42))+1,""),ROW()-1842)),"")</f>
        <v>https://www.comunidad.madrid/hospital/elescorial/sitemap</v>
      </c>
      <c r="D1851" s="99" t="s">
        <v>147</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VIDEOTECA</v>
      </c>
      <c r="C1852" s="85" t="str" cm="1">
        <f t="array" ref="C1852">IFERROR(INDEX('03.Muestra'!$F$8:$F$42,SMALL(IF("Página Web"='03.Muestra'!$D$8:$D$42,ROW('03.Muestra'!$F$8:$F$42)-MIN(ROW('03.Muestra'!$D$8:$D$42))+1,""),ROW()-1842)),"")</f>
        <v>https://www.comunidad.madrid/hospital/elescorial/comunicacion/videoteca</v>
      </c>
      <c r="D1852" s="99" t="s">
        <v>147</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ref="D1853:D1877" si="97">IF(AND(B1853&lt;&gt;"",C1853&lt;&gt;""),"N/T","")</f>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144</v>
      </c>
      <c r="B1880" s="23" t="s">
        <v>136</v>
      </c>
      <c r="C1880" s="24" t="s">
        <v>236</v>
      </c>
      <c r="D1880" s="25" t="s">
        <v>146</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https://www.comunidad.madrid/hospital/elescorial/</v>
      </c>
      <c r="D1881" s="99" t="s">
        <v>139</v>
      </c>
      <c r="E1881" s="79" t="str">
        <f t="shared" ref="E1881:E1915" si="98">IF(D1881&lt;&gt;"",IF(AND(B1881&lt;&gt;"",C1881&lt;&gt;""),"","ERR"),"")</f>
        <v/>
      </c>
      <c r="F1881" s="86" t="s">
        <v>148</v>
      </c>
      <c r="G1881" s="87" t="s">
        <v>149</v>
      </c>
      <c r="H1881" s="88" t="s">
        <v>147</v>
      </c>
      <c r="I1881" s="89" t="s">
        <v>139</v>
      </c>
      <c r="J1881" s="90" t="s">
        <v>137</v>
      </c>
      <c r="K1881" s="179" t="s">
        <v>143</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https://www.comunidad.madrid/hospital/elescorial/ciudadanos</v>
      </c>
      <c r="D1882" s="99" t="s">
        <v>139</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https://www.comunidad.madrid/hospital/elescorial/profesionales</v>
      </c>
      <c r="D1883" s="99" t="s">
        <v>139</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https://www.comunidad.madrid/hospital/elescorial/comunicación</v>
      </c>
      <c r="D1884" s="99" t="s">
        <v>139</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https://www.comunidad.madrid/hospital/elescorial/nosotros</v>
      </c>
      <c r="D1885" s="99" t="s">
        <v>139</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https://www.comunidad.madrid/hospital/elescorial/buscar?search_api_fulltext=&amp;nombre=</v>
      </c>
      <c r="D1886" s="99" t="s">
        <v>139</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https://www.comunidad.madrid/hospital/elescorial/declaracion-accesibilidad</v>
      </c>
      <c r="D1887" s="99" t="s">
        <v>139</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v>
      </c>
      <c r="C1888" s="85" t="str" cm="1">
        <f t="array" ref="C1888">IFERROR(INDEX('03.Muestra'!$F$8:$F$42,SMALL(IF("Página Web"='03.Muestra'!$D$8:$D$42,ROW('03.Muestra'!$F$8:$F$42)-MIN(ROW('03.Muestra'!$D$8:$D$42))+1,""),ROW()-1880)),"")</f>
        <v>https://www.comunidad.madrid/hospital/elescorial/ciudadanos/aviso-legal-privacidad</v>
      </c>
      <c r="D1888" s="99" t="s">
        <v>139</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SITIO</v>
      </c>
      <c r="C1889" s="85" t="str" cm="1">
        <f t="array" ref="C1889">IFERROR(INDEX('03.Muestra'!$F$8:$F$42,SMALL(IF("Página Web"='03.Muestra'!$D$8:$D$42,ROW('03.Muestra'!$F$8:$F$42)-MIN(ROW('03.Muestra'!$D$8:$D$42))+1,""),ROW()-1880)),"")</f>
        <v>https://www.comunidad.madrid/hospital/elescorial/sitemap</v>
      </c>
      <c r="D1889" s="99" t="s">
        <v>139</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VIDEOTECA</v>
      </c>
      <c r="C1890" s="85" t="str" cm="1">
        <f t="array" ref="C1890">IFERROR(INDEX('03.Muestra'!$F$8:$F$42,SMALL(IF("Página Web"='03.Muestra'!$D$8:$D$42,ROW('03.Muestra'!$F$8:$F$42)-MIN(ROW('03.Muestra'!$D$8:$D$42))+1,""),ROW()-1880)),"")</f>
        <v>https://www.comunidad.madrid/hospital/elescorial/comunicacion/videoteca</v>
      </c>
      <c r="D1890" s="99" t="s">
        <v>139</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ref="D1891:D1915" si="99">IF(AND(B1891&lt;&gt;"",C1891&lt;&gt;""),"N/T","")</f>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453125" style="84" customWidth="1"/>
    <col min="5" max="5" width="5.54296875" style="84" customWidth="1"/>
    <col min="6" max="6" width="16.453125" style="14" bestFit="1" customWidth="1"/>
    <col min="7" max="7" width="14.54296875" style="14" customWidth="1"/>
    <col min="8" max="8" width="12.54296875" style="14" customWidth="1"/>
    <col min="9" max="9" width="11.54296875" style="14" customWidth="1"/>
    <col min="10" max="10" width="17.4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54296875" style="14" customWidth="1"/>
    <col min="19" max="19" width="12.81640625" style="14" customWidth="1"/>
    <col min="20" max="20" width="12.1796875" style="14" customWidth="1"/>
    <col min="21" max="21" width="6.54296875" style="14" customWidth="1"/>
    <col min="22" max="22" width="5.54296875" style="14" customWidth="1"/>
    <col min="23" max="23" width="12" style="14" customWidth="1"/>
    <col min="24" max="24" width="11.81640625" style="14" customWidth="1"/>
    <col min="25" max="25" width="7.453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128</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1" t="s">
        <v>237</v>
      </c>
      <c r="C8" s="231"/>
      <c r="D8" s="231"/>
      <c r="E8" s="231"/>
      <c r="F8" s="231"/>
      <c r="G8" s="231"/>
      <c r="H8" s="231"/>
      <c r="I8" s="231"/>
      <c r="J8" s="231"/>
      <c r="K8" s="231"/>
      <c r="L8" s="231"/>
      <c r="M8" s="231"/>
      <c r="N8" s="18"/>
      <c r="O8" s="18"/>
    </row>
    <row r="9" spans="1:64" ht="24" customHeight="1">
      <c r="B9" s="230" t="s">
        <v>238</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131</v>
      </c>
      <c r="C11" s="229"/>
      <c r="D11" s="26"/>
      <c r="E11" s="14"/>
      <c r="F11" s="196" t="s">
        <v>132</v>
      </c>
      <c r="G11" s="105" t="s">
        <v>133</v>
      </c>
      <c r="H11" s="197" t="s">
        <v>134</v>
      </c>
      <c r="I11" s="22"/>
      <c r="J11" s="196" t="s">
        <v>135</v>
      </c>
      <c r="K11" s="105" t="s">
        <v>133</v>
      </c>
      <c r="L11" s="197" t="s">
        <v>134</v>
      </c>
      <c r="M11" s="18"/>
      <c r="N11" s="18"/>
      <c r="O11" s="18"/>
      <c r="P11" s="18"/>
      <c r="Q11" s="18"/>
      <c r="R11" s="18"/>
      <c r="U11" s="18"/>
      <c r="V11" s="18"/>
      <c r="W11" s="18"/>
      <c r="X11" s="18"/>
      <c r="Y11" s="18"/>
    </row>
    <row r="12" spans="1:64" ht="12" customHeight="1">
      <c r="B12" s="108" t="s">
        <v>136</v>
      </c>
      <c r="C12" s="198">
        <f>COUNTIF($B$18:$B$3922,B12)</f>
        <v>45</v>
      </c>
      <c r="D12" s="26"/>
      <c r="E12" s="14"/>
      <c r="F12" s="199" t="s">
        <v>137</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138</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139</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140</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141</v>
      </c>
      <c r="C14" s="201">
        <f>C12+C13</f>
        <v>45</v>
      </c>
      <c r="D14" s="26"/>
      <c r="E14" s="14"/>
      <c r="F14" s="199" t="s">
        <v>142</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143</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141</v>
      </c>
      <c r="G15" s="203">
        <f ca="1">SUM(G12:G14)</f>
        <v>0</v>
      </c>
      <c r="H15" s="204">
        <f ca="1">SUM(H12:H14)</f>
        <v>0</v>
      </c>
      <c r="I15" s="26"/>
      <c r="J15" s="200" t="s">
        <v>141</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144</v>
      </c>
      <c r="B18" s="23" t="s">
        <v>136</v>
      </c>
      <c r="C18" s="24" t="s">
        <v>239</v>
      </c>
      <c r="D18" s="25" t="s">
        <v>146</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148</v>
      </c>
      <c r="G19" s="87" t="s">
        <v>149</v>
      </c>
      <c r="H19" s="88" t="s">
        <v>147</v>
      </c>
      <c r="I19" s="89" t="s">
        <v>139</v>
      </c>
      <c r="J19" s="90" t="s">
        <v>137</v>
      </c>
      <c r="K19" s="179" t="s">
        <v>143</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148</v>
      </c>
      <c r="L22" s="92" t="s">
        <v>150</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147</v>
      </c>
      <c r="L23" s="92" t="s">
        <v>151</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149</v>
      </c>
      <c r="L24" s="92" t="s">
        <v>152</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144</v>
      </c>
      <c r="B56" s="23" t="s">
        <v>136</v>
      </c>
      <c r="C56" s="24" t="s">
        <v>240</v>
      </c>
      <c r="D56" s="25" t="s">
        <v>146</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148</v>
      </c>
      <c r="G57" s="87" t="s">
        <v>149</v>
      </c>
      <c r="H57" s="88" t="s">
        <v>147</v>
      </c>
      <c r="I57" s="89" t="s">
        <v>139</v>
      </c>
      <c r="J57" s="90" t="s">
        <v>137</v>
      </c>
      <c r="K57" s="179" t="s">
        <v>143</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144</v>
      </c>
      <c r="B94" s="23" t="s">
        <v>136</v>
      </c>
      <c r="C94" s="24" t="s">
        <v>241</v>
      </c>
      <c r="D94" s="25" t="s">
        <v>146</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148</v>
      </c>
      <c r="G95" s="87" t="s">
        <v>149</v>
      </c>
      <c r="H95" s="88" t="s">
        <v>147</v>
      </c>
      <c r="I95" s="89" t="s">
        <v>139</v>
      </c>
      <c r="J95" s="90" t="s">
        <v>137</v>
      </c>
      <c r="K95" s="179" t="s">
        <v>143</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144</v>
      </c>
      <c r="B132" s="23" t="s">
        <v>136</v>
      </c>
      <c r="C132" s="24" t="s">
        <v>242</v>
      </c>
      <c r="D132" s="25" t="s">
        <v>146</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148</v>
      </c>
      <c r="G133" s="87" t="s">
        <v>149</v>
      </c>
      <c r="H133" s="88" t="s">
        <v>147</v>
      </c>
      <c r="I133" s="89" t="s">
        <v>139</v>
      </c>
      <c r="J133" s="90" t="s">
        <v>137</v>
      </c>
      <c r="K133" s="179" t="s">
        <v>143</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144</v>
      </c>
      <c r="B170" s="23" t="s">
        <v>136</v>
      </c>
      <c r="C170" s="24" t="s">
        <v>243</v>
      </c>
      <c r="D170" s="25" t="s">
        <v>146</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148</v>
      </c>
      <c r="G171" s="87" t="s">
        <v>149</v>
      </c>
      <c r="H171" s="88" t="s">
        <v>147</v>
      </c>
      <c r="I171" s="89" t="s">
        <v>139</v>
      </c>
      <c r="J171" s="90" t="s">
        <v>137</v>
      </c>
      <c r="K171" s="179" t="s">
        <v>143</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144</v>
      </c>
      <c r="B208" s="23" t="s">
        <v>136</v>
      </c>
      <c r="C208" s="24" t="s">
        <v>244</v>
      </c>
      <c r="D208" s="25" t="s">
        <v>146</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148</v>
      </c>
      <c r="G209" s="87" t="s">
        <v>149</v>
      </c>
      <c r="H209" s="88" t="s">
        <v>147</v>
      </c>
      <c r="I209" s="89" t="s">
        <v>139</v>
      </c>
      <c r="J209" s="90" t="s">
        <v>137</v>
      </c>
      <c r="K209" s="179" t="s">
        <v>143</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144</v>
      </c>
      <c r="B246" s="23" t="s">
        <v>136</v>
      </c>
      <c r="C246" s="24" t="s">
        <v>245</v>
      </c>
      <c r="D246" s="25" t="s">
        <v>146</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148</v>
      </c>
      <c r="G247" s="87" t="s">
        <v>149</v>
      </c>
      <c r="H247" s="88" t="s">
        <v>147</v>
      </c>
      <c r="I247" s="89" t="s">
        <v>139</v>
      </c>
      <c r="J247" s="90" t="s">
        <v>137</v>
      </c>
      <c r="K247" s="179" t="s">
        <v>143</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144</v>
      </c>
      <c r="B284" s="23" t="s">
        <v>136</v>
      </c>
      <c r="C284" s="24" t="s">
        <v>246</v>
      </c>
      <c r="D284" s="25" t="s">
        <v>146</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148</v>
      </c>
      <c r="G285" s="87" t="s">
        <v>149</v>
      </c>
      <c r="H285" s="88" t="s">
        <v>147</v>
      </c>
      <c r="I285" s="89" t="s">
        <v>139</v>
      </c>
      <c r="J285" s="90" t="s">
        <v>137</v>
      </c>
      <c r="K285" s="179" t="s">
        <v>143</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144</v>
      </c>
      <c r="B322" s="23" t="s">
        <v>136</v>
      </c>
      <c r="C322" s="24" t="s">
        <v>247</v>
      </c>
      <c r="D322" s="25" t="s">
        <v>146</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148</v>
      </c>
      <c r="G323" s="87" t="s">
        <v>149</v>
      </c>
      <c r="H323" s="88" t="s">
        <v>147</v>
      </c>
      <c r="I323" s="89" t="s">
        <v>139</v>
      </c>
      <c r="J323" s="90" t="s">
        <v>137</v>
      </c>
      <c r="K323" s="179" t="s">
        <v>143</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144</v>
      </c>
      <c r="B360" s="23" t="s">
        <v>136</v>
      </c>
      <c r="C360" s="24" t="s">
        <v>248</v>
      </c>
      <c r="D360" s="25" t="s">
        <v>146</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148</v>
      </c>
      <c r="G361" s="87" t="s">
        <v>149</v>
      </c>
      <c r="H361" s="88" t="s">
        <v>147</v>
      </c>
      <c r="I361" s="89" t="s">
        <v>139</v>
      </c>
      <c r="J361" s="90" t="s">
        <v>137</v>
      </c>
      <c r="K361" s="179" t="s">
        <v>143</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144</v>
      </c>
      <c r="B398" s="23" t="s">
        <v>136</v>
      </c>
      <c r="C398" s="24" t="s">
        <v>249</v>
      </c>
      <c r="D398" s="25" t="s">
        <v>146</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148</v>
      </c>
      <c r="G399" s="87" t="s">
        <v>149</v>
      </c>
      <c r="H399" s="88" t="s">
        <v>147</v>
      </c>
      <c r="I399" s="89" t="s">
        <v>139</v>
      </c>
      <c r="J399" s="90" t="s">
        <v>137</v>
      </c>
      <c r="K399" s="179" t="s">
        <v>143</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144</v>
      </c>
      <c r="B436" s="23" t="s">
        <v>136</v>
      </c>
      <c r="C436" s="24" t="s">
        <v>250</v>
      </c>
      <c r="D436" s="25" t="s">
        <v>146</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148</v>
      </c>
      <c r="G437" s="87" t="s">
        <v>149</v>
      </c>
      <c r="H437" s="88" t="s">
        <v>147</v>
      </c>
      <c r="I437" s="89" t="s">
        <v>139</v>
      </c>
      <c r="J437" s="90" t="s">
        <v>137</v>
      </c>
      <c r="K437" s="179" t="s">
        <v>143</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144</v>
      </c>
      <c r="B474" s="23" t="s">
        <v>136</v>
      </c>
      <c r="C474" s="24" t="s">
        <v>251</v>
      </c>
      <c r="D474" s="25" t="s">
        <v>146</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148</v>
      </c>
      <c r="G475" s="87" t="s">
        <v>149</v>
      </c>
      <c r="H475" s="88" t="s">
        <v>147</v>
      </c>
      <c r="I475" s="89" t="s">
        <v>139</v>
      </c>
      <c r="J475" s="90" t="s">
        <v>137</v>
      </c>
      <c r="K475" s="179" t="s">
        <v>143</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144</v>
      </c>
      <c r="B512" s="23" t="s">
        <v>136</v>
      </c>
      <c r="C512" s="24" t="s">
        <v>252</v>
      </c>
      <c r="D512" s="25" t="s">
        <v>146</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148</v>
      </c>
      <c r="G513" s="87" t="s">
        <v>149</v>
      </c>
      <c r="H513" s="88" t="s">
        <v>147</v>
      </c>
      <c r="I513" s="89" t="s">
        <v>139</v>
      </c>
      <c r="J513" s="90" t="s">
        <v>137</v>
      </c>
      <c r="K513" s="179" t="s">
        <v>143</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144</v>
      </c>
      <c r="B550" s="23" t="s">
        <v>136</v>
      </c>
      <c r="C550" s="24" t="s">
        <v>253</v>
      </c>
      <c r="D550" s="25" t="s">
        <v>146</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148</v>
      </c>
      <c r="G551" s="87" t="s">
        <v>149</v>
      </c>
      <c r="H551" s="88" t="s">
        <v>147</v>
      </c>
      <c r="I551" s="89" t="s">
        <v>139</v>
      </c>
      <c r="J551" s="90" t="s">
        <v>137</v>
      </c>
      <c r="K551" s="179" t="s">
        <v>143</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144</v>
      </c>
      <c r="B588" s="23" t="s">
        <v>136</v>
      </c>
      <c r="C588" s="24" t="s">
        <v>254</v>
      </c>
      <c r="D588" s="25" t="s">
        <v>146</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148</v>
      </c>
      <c r="G589" s="87" t="s">
        <v>149</v>
      </c>
      <c r="H589" s="88" t="s">
        <v>147</v>
      </c>
      <c r="I589" s="89" t="s">
        <v>139</v>
      </c>
      <c r="J589" s="90" t="s">
        <v>137</v>
      </c>
      <c r="K589" s="179" t="s">
        <v>143</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9" customHeight="1">
      <c r="A626" s="173" t="s">
        <v>144</v>
      </c>
      <c r="B626" s="23" t="s">
        <v>136</v>
      </c>
      <c r="C626" s="24" t="s">
        <v>255</v>
      </c>
      <c r="D626" s="25" t="s">
        <v>146</v>
      </c>
      <c r="E626" s="93"/>
      <c r="K626" s="184"/>
      <c r="L626" s="18"/>
      <c r="M626" s="18"/>
      <c r="N626" s="18"/>
      <c r="O626" s="18"/>
      <c r="P626" s="18"/>
      <c r="Q626" s="18"/>
      <c r="R626" s="18"/>
      <c r="S626" s="18"/>
      <c r="T626" s="18"/>
      <c r="U626" s="18"/>
      <c r="V626" s="18"/>
      <c r="W626" s="18"/>
      <c r="X626" s="18"/>
      <c r="Y626" s="18"/>
    </row>
    <row r="627" spans="1:25" ht="13.4"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148</v>
      </c>
      <c r="G627" s="87" t="s">
        <v>149</v>
      </c>
      <c r="H627" s="88" t="s">
        <v>147</v>
      </c>
      <c r="I627" s="89" t="s">
        <v>139</v>
      </c>
      <c r="J627" s="90" t="s">
        <v>137</v>
      </c>
      <c r="K627" s="179" t="s">
        <v>143</v>
      </c>
      <c r="L627" s="18"/>
      <c r="M627" s="18"/>
      <c r="N627" s="18"/>
      <c r="O627" s="18"/>
      <c r="P627" s="18"/>
      <c r="Q627" s="18"/>
      <c r="R627" s="18"/>
      <c r="S627" s="18"/>
      <c r="T627" s="18"/>
      <c r="U627" s="18"/>
      <c r="V627" s="18"/>
      <c r="W627" s="18"/>
      <c r="X627" s="18"/>
      <c r="Y627" s="18"/>
    </row>
    <row r="628" spans="1:25" ht="13.4"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4"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4"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4"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4"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4"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4"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4"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4"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4"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4"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4"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4"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4"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4"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4"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4"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4"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4"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4"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4"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4"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4"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9" customHeight="1">
      <c r="A664" s="173" t="s">
        <v>144</v>
      </c>
      <c r="B664" s="23" t="s">
        <v>136</v>
      </c>
      <c r="C664" s="24" t="s">
        <v>256</v>
      </c>
      <c r="D664" s="25" t="s">
        <v>146</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148</v>
      </c>
      <c r="G665" s="87" t="s">
        <v>149</v>
      </c>
      <c r="H665" s="88" t="s">
        <v>147</v>
      </c>
      <c r="I665" s="89" t="s">
        <v>139</v>
      </c>
      <c r="J665" s="90" t="s">
        <v>137</v>
      </c>
      <c r="K665" s="179" t="s">
        <v>143</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65" customHeight="1">
      <c r="A702" s="173" t="s">
        <v>144</v>
      </c>
      <c r="B702" s="23" t="s">
        <v>136</v>
      </c>
      <c r="C702" s="24" t="s">
        <v>257</v>
      </c>
      <c r="D702" s="25" t="s">
        <v>146</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148</v>
      </c>
      <c r="G703" s="87" t="s">
        <v>149</v>
      </c>
      <c r="H703" s="88" t="s">
        <v>147</v>
      </c>
      <c r="I703" s="89" t="s">
        <v>139</v>
      </c>
      <c r="J703" s="90" t="s">
        <v>137</v>
      </c>
      <c r="K703" s="179" t="s">
        <v>143</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144</v>
      </c>
      <c r="B740" s="23" t="s">
        <v>136</v>
      </c>
      <c r="C740" s="24" t="s">
        <v>258</v>
      </c>
      <c r="D740" s="25" t="s">
        <v>146</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148</v>
      </c>
      <c r="G741" s="87" t="s">
        <v>149</v>
      </c>
      <c r="H741" s="88" t="s">
        <v>147</v>
      </c>
      <c r="I741" s="89" t="s">
        <v>139</v>
      </c>
      <c r="J741" s="90" t="s">
        <v>137</v>
      </c>
      <c r="K741" s="179" t="s">
        <v>143</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144</v>
      </c>
      <c r="B778" s="23" t="s">
        <v>136</v>
      </c>
      <c r="C778" s="24" t="s">
        <v>259</v>
      </c>
      <c r="D778" s="25" t="s">
        <v>146</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148</v>
      </c>
      <c r="G779" s="87" t="s">
        <v>149</v>
      </c>
      <c r="H779" s="88" t="s">
        <v>147</v>
      </c>
      <c r="I779" s="89" t="s">
        <v>139</v>
      </c>
      <c r="J779" s="90" t="s">
        <v>137</v>
      </c>
      <c r="K779" s="179" t="s">
        <v>143</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144</v>
      </c>
      <c r="B816" s="23" t="s">
        <v>136</v>
      </c>
      <c r="C816" s="24" t="s">
        <v>260</v>
      </c>
      <c r="D816" s="25" t="s">
        <v>146</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148</v>
      </c>
      <c r="G817" s="87" t="s">
        <v>149</v>
      </c>
      <c r="H817" s="88" t="s">
        <v>147</v>
      </c>
      <c r="I817" s="89" t="s">
        <v>139</v>
      </c>
      <c r="J817" s="90" t="s">
        <v>137</v>
      </c>
      <c r="K817" s="179" t="s">
        <v>143</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144</v>
      </c>
      <c r="B854" s="23" t="s">
        <v>136</v>
      </c>
      <c r="C854" s="24" t="s">
        <v>261</v>
      </c>
      <c r="D854" s="25" t="s">
        <v>146</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148</v>
      </c>
      <c r="G855" s="87" t="s">
        <v>149</v>
      </c>
      <c r="H855" s="88" t="s">
        <v>147</v>
      </c>
      <c r="I855" s="89" t="s">
        <v>139</v>
      </c>
      <c r="J855" s="90" t="s">
        <v>137</v>
      </c>
      <c r="K855" s="179" t="s">
        <v>143</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144</v>
      </c>
      <c r="B892" s="23" t="s">
        <v>136</v>
      </c>
      <c r="C892" s="24" t="s">
        <v>262</v>
      </c>
      <c r="D892" s="25" t="s">
        <v>146</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148</v>
      </c>
      <c r="G893" s="87" t="s">
        <v>149</v>
      </c>
      <c r="H893" s="88" t="s">
        <v>147</v>
      </c>
      <c r="I893" s="89" t="s">
        <v>139</v>
      </c>
      <c r="J893" s="90" t="s">
        <v>137</v>
      </c>
      <c r="K893" s="179" t="s">
        <v>143</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144</v>
      </c>
      <c r="B930" s="23" t="s">
        <v>136</v>
      </c>
      <c r="C930" s="24" t="s">
        <v>263</v>
      </c>
      <c r="D930" s="25" t="s">
        <v>146</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148</v>
      </c>
      <c r="G931" s="87" t="s">
        <v>149</v>
      </c>
      <c r="H931" s="88" t="s">
        <v>147</v>
      </c>
      <c r="I931" s="89" t="s">
        <v>139</v>
      </c>
      <c r="J931" s="90" t="s">
        <v>137</v>
      </c>
      <c r="K931" s="179" t="s">
        <v>143</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144</v>
      </c>
      <c r="B968" s="23" t="s">
        <v>136</v>
      </c>
      <c r="C968" s="24" t="s">
        <v>264</v>
      </c>
      <c r="D968" s="25" t="s">
        <v>146</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148</v>
      </c>
      <c r="G969" s="87" t="s">
        <v>149</v>
      </c>
      <c r="H969" s="88" t="s">
        <v>147</v>
      </c>
      <c r="I969" s="89" t="s">
        <v>139</v>
      </c>
      <c r="J969" s="90" t="s">
        <v>137</v>
      </c>
      <c r="K969" s="179" t="s">
        <v>143</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144</v>
      </c>
      <c r="B1006" s="23" t="s">
        <v>136</v>
      </c>
      <c r="C1006" s="24" t="s">
        <v>265</v>
      </c>
      <c r="D1006" s="25" t="s">
        <v>146</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148</v>
      </c>
      <c r="G1007" s="87" t="s">
        <v>149</v>
      </c>
      <c r="H1007" s="88" t="s">
        <v>147</v>
      </c>
      <c r="I1007" s="89" t="s">
        <v>139</v>
      </c>
      <c r="J1007" s="90" t="s">
        <v>137</v>
      </c>
      <c r="K1007" s="179" t="s">
        <v>143</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144</v>
      </c>
      <c r="B1044" s="23" t="s">
        <v>136</v>
      </c>
      <c r="C1044" s="24" t="s">
        <v>266</v>
      </c>
      <c r="D1044" s="25" t="s">
        <v>146</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148</v>
      </c>
      <c r="G1045" s="87" t="s">
        <v>149</v>
      </c>
      <c r="H1045" s="88" t="s">
        <v>147</v>
      </c>
      <c r="I1045" s="89" t="s">
        <v>139</v>
      </c>
      <c r="J1045" s="90" t="s">
        <v>137</v>
      </c>
      <c r="K1045" s="179" t="s">
        <v>143</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144</v>
      </c>
      <c r="B1082" s="23" t="s">
        <v>136</v>
      </c>
      <c r="C1082" s="24" t="s">
        <v>267</v>
      </c>
      <c r="D1082" s="25" t="s">
        <v>146</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148</v>
      </c>
      <c r="G1083" s="87" t="s">
        <v>149</v>
      </c>
      <c r="H1083" s="88" t="s">
        <v>147</v>
      </c>
      <c r="I1083" s="89" t="s">
        <v>139</v>
      </c>
      <c r="J1083" s="90" t="s">
        <v>137</v>
      </c>
      <c r="K1083" s="179" t="s">
        <v>143</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144</v>
      </c>
      <c r="B1120" s="23" t="s">
        <v>136</v>
      </c>
      <c r="C1120" s="24" t="s">
        <v>268</v>
      </c>
      <c r="D1120" s="25" t="s">
        <v>146</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148</v>
      </c>
      <c r="G1121" s="87" t="s">
        <v>149</v>
      </c>
      <c r="H1121" s="88" t="s">
        <v>147</v>
      </c>
      <c r="I1121" s="89" t="s">
        <v>139</v>
      </c>
      <c r="J1121" s="90" t="s">
        <v>137</v>
      </c>
      <c r="K1121" s="179" t="s">
        <v>143</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144</v>
      </c>
      <c r="B1158" s="23" t="s">
        <v>136</v>
      </c>
      <c r="C1158" s="24" t="s">
        <v>269</v>
      </c>
      <c r="D1158" s="25" t="s">
        <v>146</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148</v>
      </c>
      <c r="G1159" s="87" t="s">
        <v>149</v>
      </c>
      <c r="H1159" s="88" t="s">
        <v>147</v>
      </c>
      <c r="I1159" s="89" t="s">
        <v>139</v>
      </c>
      <c r="J1159" s="90" t="s">
        <v>137</v>
      </c>
      <c r="K1159" s="179" t="s">
        <v>143</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144</v>
      </c>
      <c r="B1196" s="23" t="s">
        <v>136</v>
      </c>
      <c r="C1196" s="24" t="s">
        <v>270</v>
      </c>
      <c r="D1196" s="25" t="s">
        <v>146</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148</v>
      </c>
      <c r="G1197" s="87" t="s">
        <v>149</v>
      </c>
      <c r="H1197" s="88" t="s">
        <v>147</v>
      </c>
      <c r="I1197" s="89" t="s">
        <v>139</v>
      </c>
      <c r="J1197" s="90" t="s">
        <v>137</v>
      </c>
      <c r="K1197" s="179" t="s">
        <v>143</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144</v>
      </c>
      <c r="B1234" s="23" t="s">
        <v>136</v>
      </c>
      <c r="C1234" s="24" t="s">
        <v>271</v>
      </c>
      <c r="D1234" s="25" t="s">
        <v>146</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148</v>
      </c>
      <c r="G1235" s="87" t="s">
        <v>149</v>
      </c>
      <c r="H1235" s="88" t="s">
        <v>147</v>
      </c>
      <c r="I1235" s="89" t="s">
        <v>139</v>
      </c>
      <c r="J1235" s="90" t="s">
        <v>137</v>
      </c>
      <c r="K1235" s="179" t="s">
        <v>143</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144</v>
      </c>
      <c r="B1272" s="23" t="s">
        <v>136</v>
      </c>
      <c r="C1272" s="24" t="s">
        <v>272</v>
      </c>
      <c r="D1272" s="25" t="s">
        <v>146</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148</v>
      </c>
      <c r="G1273" s="87" t="s">
        <v>149</v>
      </c>
      <c r="H1273" s="88" t="s">
        <v>147</v>
      </c>
      <c r="I1273" s="89" t="s">
        <v>139</v>
      </c>
      <c r="J1273" s="90" t="s">
        <v>137</v>
      </c>
      <c r="K1273" s="179" t="s">
        <v>143</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144</v>
      </c>
      <c r="B1310" s="23" t="s">
        <v>136</v>
      </c>
      <c r="C1310" s="24" t="s">
        <v>273</v>
      </c>
      <c r="D1310" s="25" t="s">
        <v>146</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148</v>
      </c>
      <c r="G1311" s="87" t="s">
        <v>149</v>
      </c>
      <c r="H1311" s="88" t="s">
        <v>147</v>
      </c>
      <c r="I1311" s="89" t="s">
        <v>139</v>
      </c>
      <c r="J1311" s="90" t="s">
        <v>137</v>
      </c>
      <c r="K1311" s="179" t="s">
        <v>143</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144</v>
      </c>
      <c r="B1348" s="23" t="s">
        <v>136</v>
      </c>
      <c r="C1348" s="24" t="s">
        <v>274</v>
      </c>
      <c r="D1348" s="25" t="s">
        <v>146</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148</v>
      </c>
      <c r="G1349" s="87" t="s">
        <v>149</v>
      </c>
      <c r="H1349" s="88" t="s">
        <v>147</v>
      </c>
      <c r="I1349" s="89" t="s">
        <v>139</v>
      </c>
      <c r="J1349" s="90" t="s">
        <v>137</v>
      </c>
      <c r="K1349" s="179" t="s">
        <v>143</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144</v>
      </c>
      <c r="B1386" s="23" t="s">
        <v>136</v>
      </c>
      <c r="C1386" s="24" t="s">
        <v>275</v>
      </c>
      <c r="D1386" s="25" t="s">
        <v>146</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148</v>
      </c>
      <c r="G1387" s="87" t="s">
        <v>149</v>
      </c>
      <c r="H1387" s="88" t="s">
        <v>147</v>
      </c>
      <c r="I1387" s="89" t="s">
        <v>139</v>
      </c>
      <c r="J1387" s="90" t="s">
        <v>137</v>
      </c>
      <c r="K1387" s="179" t="s">
        <v>143</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144</v>
      </c>
      <c r="B1424" s="23" t="s">
        <v>136</v>
      </c>
      <c r="C1424" s="24" t="s">
        <v>276</v>
      </c>
      <c r="D1424" s="25" t="s">
        <v>146</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148</v>
      </c>
      <c r="G1425" s="87" t="s">
        <v>149</v>
      </c>
      <c r="H1425" s="88" t="s">
        <v>147</v>
      </c>
      <c r="I1425" s="89" t="s">
        <v>139</v>
      </c>
      <c r="J1425" s="90" t="s">
        <v>137</v>
      </c>
      <c r="K1425" s="179" t="s">
        <v>143</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144</v>
      </c>
      <c r="B1462" s="23" t="s">
        <v>136</v>
      </c>
      <c r="C1462" s="24" t="s">
        <v>277</v>
      </c>
      <c r="D1462" s="25" t="s">
        <v>146</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148</v>
      </c>
      <c r="G1463" s="87" t="s">
        <v>149</v>
      </c>
      <c r="H1463" s="88" t="s">
        <v>147</v>
      </c>
      <c r="I1463" s="89" t="s">
        <v>139</v>
      </c>
      <c r="J1463" s="90" t="s">
        <v>137</v>
      </c>
      <c r="K1463" s="179" t="s">
        <v>143</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144</v>
      </c>
      <c r="B1500" s="23" t="s">
        <v>136</v>
      </c>
      <c r="C1500" s="24" t="s">
        <v>278</v>
      </c>
      <c r="D1500" s="25" t="s">
        <v>146</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148</v>
      </c>
      <c r="G1501" s="87" t="s">
        <v>149</v>
      </c>
      <c r="H1501" s="88" t="s">
        <v>147</v>
      </c>
      <c r="I1501" s="89" t="s">
        <v>139</v>
      </c>
      <c r="J1501" s="90" t="s">
        <v>137</v>
      </c>
      <c r="K1501" s="179" t="s">
        <v>143</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144</v>
      </c>
      <c r="B1538" s="23" t="s">
        <v>136</v>
      </c>
      <c r="C1538" s="24" t="s">
        <v>279</v>
      </c>
      <c r="D1538" s="25" t="s">
        <v>146</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148</v>
      </c>
      <c r="G1539" s="87" t="s">
        <v>149</v>
      </c>
      <c r="H1539" s="88" t="s">
        <v>147</v>
      </c>
      <c r="I1539" s="89" t="s">
        <v>139</v>
      </c>
      <c r="J1539" s="90" t="s">
        <v>137</v>
      </c>
      <c r="K1539" s="179" t="s">
        <v>143</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144</v>
      </c>
      <c r="B1576" s="23" t="s">
        <v>136</v>
      </c>
      <c r="C1576" s="24" t="s">
        <v>280</v>
      </c>
      <c r="D1576" s="25" t="s">
        <v>146</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148</v>
      </c>
      <c r="G1577" s="87" t="s">
        <v>149</v>
      </c>
      <c r="H1577" s="88" t="s">
        <v>147</v>
      </c>
      <c r="I1577" s="89" t="s">
        <v>139</v>
      </c>
      <c r="J1577" s="90" t="s">
        <v>137</v>
      </c>
      <c r="K1577" s="179" t="s">
        <v>143</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144</v>
      </c>
      <c r="B1614" s="23" t="s">
        <v>136</v>
      </c>
      <c r="C1614" s="24" t="s">
        <v>281</v>
      </c>
      <c r="D1614" s="25" t="s">
        <v>146</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148</v>
      </c>
      <c r="G1615" s="87" t="s">
        <v>149</v>
      </c>
      <c r="H1615" s="88" t="s">
        <v>147</v>
      </c>
      <c r="I1615" s="89" t="s">
        <v>139</v>
      </c>
      <c r="J1615" s="90" t="s">
        <v>137</v>
      </c>
      <c r="K1615" s="179" t="s">
        <v>143</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144</v>
      </c>
      <c r="B1652" s="23" t="s">
        <v>136</v>
      </c>
      <c r="C1652" s="24" t="s">
        <v>282</v>
      </c>
      <c r="D1652" s="25" t="s">
        <v>146</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148</v>
      </c>
      <c r="G1653" s="87" t="s">
        <v>149</v>
      </c>
      <c r="H1653" s="88" t="s">
        <v>147</v>
      </c>
      <c r="I1653" s="89" t="s">
        <v>139</v>
      </c>
      <c r="J1653" s="90" t="s">
        <v>137</v>
      </c>
      <c r="K1653" s="179" t="s">
        <v>143</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144</v>
      </c>
      <c r="B1690" s="23" t="s">
        <v>136</v>
      </c>
      <c r="C1690" s="24" t="s">
        <v>283</v>
      </c>
      <c r="D1690" s="25" t="s">
        <v>146</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148</v>
      </c>
      <c r="G1691" s="87" t="s">
        <v>149</v>
      </c>
      <c r="H1691" s="88" t="s">
        <v>147</v>
      </c>
      <c r="I1691" s="89" t="s">
        <v>139</v>
      </c>
      <c r="J1691" s="90" t="s">
        <v>137</v>
      </c>
      <c r="K1691" s="179" t="s">
        <v>143</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3A3EF1E45B372498A5EC7E689FA1D58" ma:contentTypeVersion="14" ma:contentTypeDescription="Crear nuevo documento." ma:contentTypeScope="" ma:versionID="21a567f1fc151db67192fc9b7e0a8933">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76c56c49e2dff307e58830c02ff80803"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2.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 ds:uri="9a860658-2ee9-4fba-9b87-703aa3819891"/>
    <ds:schemaRef ds:uri="82502778-d9ae-4922-8522-5ddf635351c9"/>
  </ds:schemaRefs>
</ds:datastoreItem>
</file>

<file path=customXml/itemProps3.xml><?xml version="1.0" encoding="utf-8"?>
<ds:datastoreItem xmlns:ds="http://schemas.openxmlformats.org/officeDocument/2006/customXml" ds:itemID="{CA247AE6-47A1-4530-9271-4ECDA4DC3D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502778-d9ae-4922-8522-5ddf635351c9"/>
    <ds:schemaRef ds:uri="9a860658-2ee9-4fba-9b87-703aa3819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2026-06-30T08:01:34Z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0x01010033A3EF1E45B372498A5EC7E689FA1D58</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y fmtid="{D5CDD505-2E9C-101B-9397-08002B2CF9AE}" pid="17" name="MediaServiceImageTags">
    <vt:lpwstr/>
  </property>
</Properties>
</file>