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Perfiles\mrl7116\Desktop\ACCESIBILIDAD\hospital-clinicosancarlos\2023\"/>
    </mc:Choice>
  </mc:AlternateContent>
  <bookViews>
    <workbookView xWindow="-120" yWindow="-120" windowWidth="20730" windowHeight="11160" tabRatio="808" activeTab="1"/>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E1895" i="22"/>
  <c r="E1893" i="22"/>
  <c r="E1891" i="22"/>
  <c r="E1889" i="22"/>
  <c r="E1887" i="22"/>
  <c r="E1885" i="22"/>
  <c r="E1884" i="22"/>
  <c r="E1883" i="22"/>
  <c r="E1882" i="22"/>
  <c r="E1888" i="22" l="1"/>
  <c r="E1892" i="22"/>
  <c r="E1896" i="22"/>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157" i="14" l="1"/>
  <c r="CG20" i="9"/>
  <c r="DC3" i="19" s="1"/>
  <c r="D1253" i="22"/>
  <c r="D304" i="15"/>
  <c r="D1165" i="21"/>
  <c r="D238" i="5"/>
  <c r="D228" i="5"/>
  <c r="D139" i="21"/>
  <c r="D198" i="18"/>
  <c r="D308" i="15"/>
  <c r="D51" i="13"/>
  <c r="D82" i="13"/>
  <c r="D90" i="13"/>
  <c r="D668" i="21"/>
  <c r="D672" i="21"/>
  <c r="D723" i="21"/>
  <c r="D424" i="22"/>
  <c r="D1336" i="22"/>
  <c r="D1332" i="22"/>
  <c r="D1873" i="22"/>
  <c r="D927" i="22"/>
  <c r="D911" i="22"/>
  <c r="D152" i="15"/>
  <c r="D1486" i="21"/>
  <c r="T13" i="19"/>
  <c r="V13" i="19" s="1"/>
  <c r="T17" i="19"/>
  <c r="V17" i="19" s="1"/>
  <c r="CG54" i="9" a="1"/>
  <c r="CG54" i="9" s="1"/>
  <c r="DC37" i="19" s="1"/>
  <c r="T37" i="19"/>
  <c r="V37" i="19" s="1"/>
  <c r="T6" i="19"/>
  <c r="V6" i="19" s="1"/>
  <c r="T10" i="19"/>
  <c r="V10" i="19" s="1"/>
  <c r="T14" i="19"/>
  <c r="V14"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42" i="21"/>
  <c r="D595" i="21"/>
  <c r="D603" i="21"/>
  <c r="D619" i="21"/>
  <c r="D638" i="21"/>
  <c r="D988" i="21"/>
  <c r="D1096" i="21"/>
  <c r="D1170" i="21"/>
  <c r="D1174" i="21"/>
  <c r="D1178" i="21"/>
  <c r="D1223" i="21"/>
  <c r="D1227" i="21"/>
  <c r="D1262" i="21"/>
  <c r="D1266" i="21"/>
  <c r="D1622" i="21"/>
  <c r="D91" i="15"/>
  <c r="D155" i="15"/>
  <c r="D163" i="15"/>
  <c r="D190" i="15"/>
  <c r="D201" i="14"/>
  <c r="D193" i="14"/>
  <c r="D543" i="14"/>
  <c r="D50" i="15"/>
  <c r="D150" i="15"/>
  <c r="D162" i="15"/>
  <c r="D35" i="13"/>
  <c r="D75" i="13"/>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4" i="15"/>
  <c r="D46" i="13"/>
  <c r="D74"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648" i="22"/>
  <c r="D813" i="22"/>
  <c r="D959" i="22"/>
  <c r="D999" i="22"/>
  <c r="D1032" i="22"/>
  <c r="D1269" i="22"/>
  <c r="D1265" i="22"/>
  <c r="D1492" i="22"/>
  <c r="D1632" i="22"/>
  <c r="D1683" i="22"/>
  <c r="D1675" i="22"/>
  <c r="D176" i="21"/>
  <c r="D234" i="21"/>
  <c r="D260" i="21"/>
  <c r="D311" i="21"/>
  <c r="D351" i="21"/>
  <c r="D375" i="21"/>
  <c r="D425" i="21"/>
  <c r="D445" i="21"/>
  <c r="D453" i="21"/>
  <c r="D461" i="21"/>
  <c r="D465" i="21"/>
  <c r="D307"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83" i="13"/>
  <c r="D91" i="13"/>
  <c r="D121" i="13"/>
  <c r="D125" i="13"/>
  <c r="D167" i="14"/>
  <c r="D149" i="14"/>
  <c r="D231" i="14"/>
  <c r="D383" i="14"/>
  <c r="D379" i="14"/>
  <c r="D509" i="14"/>
  <c r="D498" i="14"/>
  <c r="D493" i="14"/>
  <c r="D568" i="14"/>
  <c r="D687" i="14"/>
  <c r="D682" i="14"/>
  <c r="D196" i="15"/>
  <c r="D348" i="15"/>
  <c r="D352" i="15"/>
  <c r="D46" i="22"/>
  <c r="D40" i="22"/>
  <c r="D90" i="22"/>
  <c r="D467" i="22"/>
  <c r="D42" i="13"/>
  <c r="D47" i="13"/>
  <c r="D50" i="13"/>
  <c r="D159" i="14"/>
  <c r="D394" i="14"/>
  <c r="D432" i="14"/>
  <c r="D428" i="14"/>
  <c r="D424" i="14"/>
  <c r="D420" i="14"/>
  <c r="D416" i="14"/>
  <c r="D505" i="14"/>
  <c r="D535" i="14"/>
  <c r="D584" i="14"/>
  <c r="D579" i="14"/>
  <c r="D736" i="14"/>
  <c r="D89"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239" i="22"/>
  <c r="D231" i="22"/>
  <c r="D393" i="22"/>
  <c r="D385" i="22"/>
  <c r="D377" i="22"/>
  <c r="D428" i="22"/>
  <c r="D420" i="22"/>
  <c r="D456" i="22"/>
  <c r="D733" i="22"/>
  <c r="D725" i="22"/>
  <c r="D44" i="13"/>
  <c r="D52"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20" i="18"/>
  <c r="D151" i="18"/>
  <c r="D155" i="18"/>
  <c r="D159" i="18"/>
  <c r="D163" i="18"/>
  <c r="D167" i="18"/>
  <c r="D190" i="18"/>
  <c r="D194" i="18"/>
  <c r="D1517" i="21"/>
  <c r="D1524" i="21"/>
  <c r="D1525" i="21"/>
  <c r="D1533" i="21"/>
  <c r="D1541" i="21"/>
  <c r="D1545" i="21"/>
  <c r="D1549" i="21"/>
  <c r="D1553" i="21"/>
  <c r="D1559" i="21"/>
  <c r="D1589" i="21"/>
  <c r="D1596" i="21"/>
  <c r="D1624" i="21"/>
  <c r="D1630" i="21"/>
  <c r="D1631" i="21"/>
  <c r="D1632" i="21"/>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6" i="13"/>
  <c r="D37" i="13"/>
  <c r="D38" i="13"/>
  <c r="D39" i="13"/>
  <c r="D40" i="13"/>
  <c r="D115" i="13"/>
  <c r="D116" i="13"/>
  <c r="D119" i="13"/>
  <c r="D120" i="13"/>
  <c r="D122" i="13"/>
  <c r="D49" i="14"/>
  <c r="D41" i="14"/>
  <c r="D124" i="14"/>
  <c r="D116" i="14"/>
  <c r="D163" i="14"/>
  <c r="D153" i="14"/>
  <c r="D240" i="14"/>
  <c r="D279" i="14"/>
  <c r="D271" i="14"/>
  <c r="D263" i="14"/>
  <c r="D393" i="14"/>
  <c r="D382" i="14"/>
  <c r="D431" i="14"/>
  <c r="D423" i="14"/>
  <c r="D415" i="14"/>
  <c r="D534" i="14"/>
  <c r="D533" i="14"/>
  <c r="D580" i="14"/>
  <c r="D575" i="14"/>
  <c r="D618" i="14"/>
  <c r="D610" i="14"/>
  <c r="D654" i="14"/>
  <c r="D646" i="14"/>
  <c r="D691" i="14"/>
  <c r="D683" i="14"/>
  <c r="D50" i="22"/>
  <c r="D42" i="22"/>
  <c r="D41" i="13"/>
  <c r="D45" i="13"/>
  <c r="D49" i="13"/>
  <c r="D53" i="13"/>
  <c r="D76" i="13"/>
  <c r="D80" i="13"/>
  <c r="D84" i="13"/>
  <c r="D88" i="13"/>
  <c r="D111" i="13"/>
  <c r="D502" i="14"/>
  <c r="D494" i="14"/>
  <c r="D576" i="14"/>
  <c r="D571" i="14"/>
  <c r="D619" i="14"/>
  <c r="D611" i="14"/>
  <c r="D733" i="14"/>
  <c r="D35" i="15"/>
  <c r="D37" i="15"/>
  <c r="D38" i="15"/>
  <c r="D42" i="15"/>
  <c r="D43" i="15"/>
  <c r="D82" i="15"/>
  <c r="D123" i="15"/>
  <c r="D153" i="15"/>
  <c r="D156" i="15"/>
  <c r="D157" i="15"/>
  <c r="D158" i="15"/>
  <c r="D188" i="15"/>
  <c r="D192" i="15"/>
  <c r="D198" i="15"/>
  <c r="D201" i="15"/>
  <c r="D202" i="15"/>
  <c r="D239" i="15"/>
  <c r="D270" i="15"/>
  <c r="D277" i="15"/>
  <c r="D278" i="15"/>
  <c r="D305" i="15"/>
  <c r="D311" i="15"/>
  <c r="D312" i="15"/>
  <c r="D313" i="15"/>
  <c r="D319" i="15"/>
  <c r="D343" i="15"/>
  <c r="D344" i="15"/>
  <c r="D73" i="13"/>
  <c r="D77" i="13"/>
  <c r="D81" i="13"/>
  <c r="D85" i="13"/>
  <c r="D89" i="13"/>
  <c r="D117" i="13"/>
  <c r="D53" i="14"/>
  <c r="D45" i="14"/>
  <c r="D37" i="14"/>
  <c r="D128" i="14"/>
  <c r="D120" i="14"/>
  <c r="D112" i="14"/>
  <c r="D161" i="14"/>
  <c r="D155" i="14"/>
  <c r="D200" i="14"/>
  <c r="D199" i="14"/>
  <c r="D192" i="14"/>
  <c r="D191" i="14"/>
  <c r="D236" i="14"/>
  <c r="D225" i="14"/>
  <c r="D388" i="14"/>
  <c r="D427" i="14"/>
  <c r="D419" i="14"/>
  <c r="D542" i="14"/>
  <c r="D541" i="14"/>
  <c r="D583" i="14"/>
  <c r="D572" i="14"/>
  <c r="D567" i="14"/>
  <c r="D658" i="14"/>
  <c r="D650" i="14"/>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734" i="22"/>
  <c r="D761" i="22"/>
  <c r="D807" i="22"/>
  <c r="D356" i="15"/>
  <c r="D49" i="22"/>
  <c r="D75" i="22"/>
  <c r="D115" i="22"/>
  <c r="D162" i="22"/>
  <c r="D161" i="22"/>
  <c r="D154" i="22"/>
  <c r="D153" i="22"/>
  <c r="D203" i="22"/>
  <c r="D195" i="22"/>
  <c r="D187" i="22"/>
  <c r="D238" i="22"/>
  <c r="D230" i="22"/>
  <c r="D357" i="22"/>
  <c r="D349" i="22"/>
  <c r="D341" i="22"/>
  <c r="D459" i="22"/>
  <c r="D496" i="22"/>
  <c r="D88" i="22"/>
  <c r="D80" i="22"/>
  <c r="D126" i="22"/>
  <c r="D316" i="22"/>
  <c r="D308" i="22"/>
  <c r="D460" i="22"/>
  <c r="D726" i="22"/>
  <c r="D765" i="22"/>
  <c r="D757" i="22"/>
  <c r="D884" i="22"/>
  <c r="D925" i="22"/>
  <c r="D53" i="22"/>
  <c r="D45" i="22"/>
  <c r="D120" i="22"/>
  <c r="D199" i="22"/>
  <c r="D191" i="22"/>
  <c r="D241" i="22"/>
  <c r="D233" i="22"/>
  <c r="D225" i="22"/>
  <c r="D353" i="22"/>
  <c r="D345"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926" i="22"/>
  <c r="D921" i="22"/>
  <c r="D915" i="22"/>
  <c r="D910" i="22"/>
  <c r="D951" i="22"/>
  <c r="D998" i="22"/>
  <c r="D1036" i="22"/>
  <c r="D1104" i="22"/>
  <c r="D1149" i="22"/>
  <c r="D1141" i="22"/>
  <c r="D1187" i="22"/>
  <c r="D1179" i="22"/>
  <c r="D1261" i="22"/>
  <c r="D1342" i="22"/>
  <c r="D1335" i="22"/>
  <c r="D1328" i="22"/>
  <c r="D1327" i="22"/>
  <c r="D1419" i="22"/>
  <c r="D1416" i="22"/>
  <c r="D1405" i="22"/>
  <c r="D1570" i="22"/>
  <c r="D1562" i="22"/>
  <c r="D1647" i="22"/>
  <c r="D1639" i="22"/>
  <c r="D1631" i="22"/>
  <c r="D1682" i="22"/>
  <c r="D1787" i="22"/>
  <c r="D1867" i="22"/>
  <c r="D24" i="21"/>
  <c r="D38" i="21"/>
  <c r="D50" i="21"/>
  <c r="D242" i="21"/>
  <c r="D1000" i="22"/>
  <c r="D1117" i="22"/>
  <c r="D1150" i="22"/>
  <c r="D1257" i="22"/>
  <c r="D1303" i="22"/>
  <c r="D1407" i="22"/>
  <c r="D1406"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93" i="5"/>
  <c r="D194" i="5"/>
  <c r="D84" i="18"/>
  <c r="D1510" i="21"/>
  <c r="D1518" i="21"/>
  <c r="D1534" i="21"/>
  <c r="D1539" i="21"/>
  <c r="D1544" i="21"/>
  <c r="D1548" i="21"/>
  <c r="D1676" i="21"/>
  <c r="D1677" i="21"/>
  <c r="D1701" i="21"/>
  <c r="D84" i="5"/>
  <c r="D53" i="18"/>
  <c r="D88" i="18"/>
  <c r="D119" i="18"/>
  <c r="D199" i="5"/>
  <c r="D200" i="5"/>
  <c r="D225" i="5"/>
  <c r="D229" i="5"/>
  <c r="D233" i="5"/>
  <c r="D237" i="5"/>
  <c r="D241" i="5"/>
  <c r="D44" i="18"/>
  <c r="D50" i="18"/>
  <c r="D79" i="18"/>
  <c r="D85" i="18"/>
  <c r="D154" i="18"/>
  <c r="D162" i="18"/>
  <c r="D189" i="18"/>
  <c r="D193" i="18"/>
  <c r="D45" i="18"/>
  <c r="D205" i="18"/>
  <c r="D203" i="5"/>
  <c r="D204" i="5"/>
  <c r="D36" i="18"/>
  <c r="D39" i="18"/>
  <c r="D42" i="18"/>
  <c r="D52" i="18"/>
  <c r="D74" i="18"/>
  <c r="D77" i="18"/>
  <c r="D87" i="18"/>
  <c r="D90" i="18"/>
  <c r="D111" i="18"/>
  <c r="D115" i="18"/>
  <c r="D149" i="18"/>
  <c r="D150" i="18"/>
  <c r="D157" i="18"/>
  <c r="D158" i="18"/>
  <c r="D165" i="18"/>
  <c r="D166" i="18"/>
  <c r="E1881" i="22"/>
  <c r="D47" i="15"/>
  <c r="D48" i="15"/>
  <c r="D78" i="15"/>
  <c r="D83" i="15"/>
  <c r="D121" i="15"/>
  <c r="D122" i="15"/>
  <c r="D197" i="15"/>
  <c r="D238" i="15"/>
  <c r="D269" i="15"/>
  <c r="D351" i="15"/>
  <c r="D123" i="13"/>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78" i="14"/>
  <c r="D270" i="14"/>
  <c r="D357" i="14"/>
  <c r="D354" i="14"/>
  <c r="D353" i="14"/>
  <c r="D350" i="14"/>
  <c r="D349" i="14"/>
  <c r="D346" i="14"/>
  <c r="D345" i="14"/>
  <c r="D342" i="14"/>
  <c r="D341" i="14"/>
  <c r="D385" i="14"/>
  <c r="D381" i="14"/>
  <c r="D468" i="14"/>
  <c r="D460" i="14"/>
  <c r="D545" i="14"/>
  <c r="D537" i="14"/>
  <c r="D529" i="14"/>
  <c r="D621" i="14"/>
  <c r="D613" i="14"/>
  <c r="D605" i="14"/>
  <c r="D685" i="14"/>
  <c r="D735" i="14"/>
  <c r="D726"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126" i="14"/>
  <c r="D122" i="14"/>
  <c r="D118" i="14"/>
  <c r="D114" i="14"/>
  <c r="D164" i="14"/>
  <c r="D160" i="14"/>
  <c r="D156" i="14"/>
  <c r="D152" i="14"/>
  <c r="D203" i="14"/>
  <c r="D195" i="14"/>
  <c r="D187" i="14"/>
  <c r="D232" i="14"/>
  <c r="D229" i="14"/>
  <c r="D275" i="14"/>
  <c r="D267" i="14"/>
  <c r="D391" i="14"/>
  <c r="D384" i="14"/>
  <c r="D380" i="14"/>
  <c r="D377" i="14"/>
  <c r="D465" i="14"/>
  <c r="D457" i="14"/>
  <c r="D544" i="14"/>
  <c r="D536" i="14"/>
  <c r="D620" i="14"/>
  <c r="D612"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202" i="14"/>
  <c r="D194" i="14"/>
  <c r="D228" i="14"/>
  <c r="D274" i="14"/>
  <c r="D266" i="14"/>
  <c r="D319" i="14"/>
  <c r="D316" i="14"/>
  <c r="D315" i="14"/>
  <c r="D312" i="14"/>
  <c r="D311" i="14"/>
  <c r="D308" i="14"/>
  <c r="D307" i="14"/>
  <c r="D304" i="14"/>
  <c r="D303" i="14"/>
  <c r="D392" i="14"/>
  <c r="D430" i="14"/>
  <c r="D426" i="14"/>
  <c r="D422" i="14"/>
  <c r="D418"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240" i="22"/>
  <c r="D232" i="22"/>
  <c r="D313" i="22"/>
  <c r="D305" i="22"/>
  <c r="D395" i="22"/>
  <c r="D392" i="22"/>
  <c r="D391" i="22"/>
  <c r="D388" i="22"/>
  <c r="D387" i="22"/>
  <c r="D384" i="22"/>
  <c r="D383" i="22"/>
  <c r="D380" i="22"/>
  <c r="D379" i="22"/>
  <c r="D431" i="22"/>
  <c r="D427" i="22"/>
  <c r="D423" i="22"/>
  <c r="D419" i="22"/>
  <c r="D415" i="22"/>
  <c r="D469" i="22"/>
  <c r="D509" i="22"/>
  <c r="D506" i="22"/>
  <c r="D505" i="22"/>
  <c r="D502" i="22"/>
  <c r="D501" i="22"/>
  <c r="D498" i="22"/>
  <c r="D620" i="22"/>
  <c r="D612" i="22"/>
  <c r="D654" i="22"/>
  <c r="D646" i="22"/>
  <c r="D692" i="22"/>
  <c r="D684" i="22"/>
  <c r="D730" i="22"/>
  <c r="D722" i="22"/>
  <c r="D772" i="22"/>
  <c r="D811" i="22"/>
  <c r="D809" i="22"/>
  <c r="D799" i="22"/>
  <c r="D887" i="22"/>
  <c r="D879" i="22"/>
  <c r="D871" i="22"/>
  <c r="D962" i="22"/>
  <c r="D958" i="22"/>
  <c r="D954" i="22"/>
  <c r="D950" i="22"/>
  <c r="D1003" i="22"/>
  <c r="D1002" i="22"/>
  <c r="D989" i="22"/>
  <c r="D1039" i="22"/>
  <c r="D1035" i="22"/>
  <c r="D1031" i="22"/>
  <c r="D1027" i="22"/>
  <c r="D1023" i="22"/>
  <c r="D1072" i="22"/>
  <c r="D1071" i="22"/>
  <c r="D1069" i="22"/>
  <c r="D1068" i="22"/>
  <c r="D1067" i="22"/>
  <c r="D1065" i="22"/>
  <c r="D1115" i="22"/>
  <c r="D1099" i="22"/>
  <c r="D1229" i="22"/>
  <c r="D1221" i="22"/>
  <c r="D1295" i="22"/>
  <c r="D1289" i="22"/>
  <c r="D1338" i="22"/>
  <c r="D1334" i="22"/>
  <c r="D1330" i="22"/>
  <c r="D1490" i="22"/>
  <c r="D1482" i="22"/>
  <c r="D1532" i="22"/>
  <c r="D1528" i="22"/>
  <c r="D1524" i="22"/>
  <c r="D1520" i="22"/>
  <c r="D1517" i="22"/>
  <c r="D1555" i="22"/>
  <c r="D1646" i="22"/>
  <c r="D1642" i="22"/>
  <c r="D1638" i="22"/>
  <c r="D1634" i="22"/>
  <c r="D1677" i="22"/>
  <c r="D1669" i="22"/>
  <c r="D1756" i="22"/>
  <c r="D1745" i="22"/>
  <c r="D1790" i="22"/>
  <c r="D1789" i="22"/>
  <c r="D1786" i="22"/>
  <c r="D1785" i="22"/>
  <c r="D1838" i="22"/>
  <c r="D1837" i="22"/>
  <c r="D1834" i="22"/>
  <c r="D1833" i="22"/>
  <c r="D1830" i="22"/>
  <c r="D1829" i="22"/>
  <c r="D1826" i="22"/>
  <c r="D1825" i="22"/>
  <c r="D1822" i="22"/>
  <c r="D1821" i="22"/>
  <c r="D1874" i="22"/>
  <c r="D1872" i="22"/>
  <c r="D1866" i="22"/>
  <c r="D38" i="22"/>
  <c r="D84" i="22"/>
  <c r="D76" i="22"/>
  <c r="D119" i="22"/>
  <c r="D163" i="22"/>
  <c r="D157" i="22"/>
  <c r="D149" i="22"/>
  <c r="D237" i="22"/>
  <c r="D229" i="22"/>
  <c r="D312" i="22"/>
  <c r="D304" i="22"/>
  <c r="D354" i="22"/>
  <c r="D350" i="22"/>
  <c r="D346" i="22"/>
  <c r="D342" i="22"/>
  <c r="D430" i="22"/>
  <c r="D426" i="22"/>
  <c r="D422" i="22"/>
  <c r="D418" i="22"/>
  <c r="D468" i="22"/>
  <c r="D495" i="22"/>
  <c r="D531" i="22"/>
  <c r="D582" i="22"/>
  <c r="D578" i="22"/>
  <c r="D574" i="22"/>
  <c r="D570"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86" i="22"/>
  <c r="D878" i="22"/>
  <c r="D1001" i="22"/>
  <c r="D988" i="22"/>
  <c r="D1038" i="22"/>
  <c r="D1034" i="22"/>
  <c r="D1030" i="22"/>
  <c r="D1026" i="22"/>
  <c r="D1064" i="22"/>
  <c r="D1111" i="22"/>
  <c r="D1228" i="22"/>
  <c r="D1220" i="22"/>
  <c r="D1216" i="22"/>
  <c r="D1304" i="22"/>
  <c r="D1300" i="22"/>
  <c r="D1296" i="22"/>
  <c r="D1418" i="22"/>
  <c r="D1410" i="22"/>
  <c r="D1495" i="22"/>
  <c r="D1487" i="22"/>
  <c r="D1610" i="22"/>
  <c r="D1609" i="22"/>
  <c r="D1606" i="22"/>
  <c r="D1605" i="22"/>
  <c r="D1602" i="22"/>
  <c r="D1601" i="22"/>
  <c r="D1598" i="22"/>
  <c r="D1597" i="22"/>
  <c r="D1594" i="22"/>
  <c r="D1593" i="22"/>
  <c r="D1684" i="22"/>
  <c r="D1676" i="22"/>
  <c r="D1674" i="22"/>
  <c r="D1761" i="22"/>
  <c r="D1753" i="22"/>
  <c r="D1751" i="22"/>
  <c r="D1839" i="22"/>
  <c r="D1836" i="22"/>
  <c r="D1835" i="22"/>
  <c r="D1832" i="22"/>
  <c r="D1831" i="22"/>
  <c r="D1828" i="22"/>
  <c r="D1827" i="22"/>
  <c r="D1824" i="22"/>
  <c r="D1823"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236" i="22"/>
  <c r="D228" i="22"/>
  <c r="D281" i="22"/>
  <c r="D278" i="22"/>
  <c r="D277" i="22"/>
  <c r="D274" i="22"/>
  <c r="D273" i="22"/>
  <c r="D270" i="22"/>
  <c r="D269" i="22"/>
  <c r="D266" i="22"/>
  <c r="D265" i="22"/>
  <c r="D317" i="22"/>
  <c r="D309" i="22"/>
  <c r="D301" i="22"/>
  <c r="D464" i="22"/>
  <c r="D463" i="22"/>
  <c r="D461" i="22"/>
  <c r="D457" i="22"/>
  <c r="D453" i="22"/>
  <c r="D494" i="22"/>
  <c r="D544" i="22"/>
  <c r="D540" i="22"/>
  <c r="D536" i="22"/>
  <c r="D532" i="22"/>
  <c r="D616" i="22"/>
  <c r="D608" i="22"/>
  <c r="D658" i="22"/>
  <c r="D650" i="22"/>
  <c r="D696" i="22"/>
  <c r="D688"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94" i="22"/>
  <c r="D1486" i="22"/>
  <c r="D1608" i="22"/>
  <c r="D1604" i="22"/>
  <c r="D1600" i="22"/>
  <c r="D1596" i="22"/>
  <c r="D1681" i="22"/>
  <c r="D1673" i="22"/>
  <c r="D1725" i="22"/>
  <c r="D1722" i="22"/>
  <c r="D1721" i="22"/>
  <c r="D1718" i="22"/>
  <c r="D1717" i="22"/>
  <c r="D1714" i="22"/>
  <c r="D1713" i="22"/>
  <c r="D1710"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760" i="22"/>
  <c r="D812" i="22"/>
  <c r="D806" i="22"/>
  <c r="D805" i="22"/>
  <c r="D802" i="22"/>
  <c r="D801" i="22"/>
  <c r="D800" i="22"/>
  <c r="D882" i="22"/>
  <c r="D874" i="22"/>
  <c r="D924" i="22"/>
  <c r="D920" i="22"/>
  <c r="D916" i="22"/>
  <c r="D912" i="22"/>
  <c r="D996" i="22"/>
  <c r="D992" i="22"/>
  <c r="D1076" i="22"/>
  <c r="D1112" i="22"/>
  <c r="D1106" i="22"/>
  <c r="D1103" i="22"/>
  <c r="D1152" i="22"/>
  <c r="D1148" i="22"/>
  <c r="D1144" i="22"/>
  <c r="D1140" i="22"/>
  <c r="D1190" i="22"/>
  <c r="D1186" i="22"/>
  <c r="D1182" i="22"/>
  <c r="D1178" i="22"/>
  <c r="D1224" i="22"/>
  <c r="D1266" i="22"/>
  <c r="D1262" i="22"/>
  <c r="D1258" i="22"/>
  <c r="D1254"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6" i="5"/>
  <c r="D38" i="5"/>
  <c r="D52" i="5"/>
  <c r="D83" i="5"/>
  <c r="D91" i="5"/>
  <c r="D111" i="5"/>
  <c r="D119" i="5"/>
  <c r="D127" i="5"/>
  <c r="D155" i="5"/>
  <c r="D47" i="18"/>
  <c r="D82" i="18"/>
  <c r="D1671" i="21"/>
  <c r="D1679" i="21"/>
  <c r="D1687" i="21"/>
  <c r="D41" i="18"/>
  <c r="D49" i="18"/>
  <c r="D113" i="18"/>
  <c r="D114" i="18"/>
  <c r="D129" i="18"/>
  <c r="D153" i="18"/>
  <c r="D161" i="18"/>
  <c r="D188" i="18"/>
  <c r="D196" i="18"/>
  <c r="D156" i="18"/>
  <c r="D164" i="18"/>
  <c r="D191" i="18"/>
  <c r="D199" i="18"/>
  <c r="D200" i="18"/>
  <c r="D192" i="18"/>
  <c r="D203" i="18"/>
  <c r="D204" i="18"/>
  <c r="D118" i="18"/>
  <c r="D122" i="18"/>
  <c r="D126"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679" i="22"/>
  <c r="D1678" i="22"/>
  <c r="D1671" i="22"/>
  <c r="D1670" i="22"/>
  <c r="D1686" i="22"/>
  <c r="D1685" i="22"/>
  <c r="D1649" i="22"/>
  <c r="D1645" i="22"/>
  <c r="D1641" i="22"/>
  <c r="D1637" i="22"/>
  <c r="D1633" i="22"/>
  <c r="D1611" i="22"/>
  <c r="D1607" i="22"/>
  <c r="D1603" i="22"/>
  <c r="D1599" i="22"/>
  <c r="D1595"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55" i="22"/>
  <c r="D1151" i="22"/>
  <c r="D1147" i="22"/>
  <c r="D1143" i="22"/>
  <c r="D1139" i="22"/>
  <c r="D1109" i="22"/>
  <c r="D1105" i="22"/>
  <c r="D1101" i="22"/>
  <c r="D1063" i="22"/>
  <c r="D1061" i="22"/>
  <c r="D1078" i="22"/>
  <c r="D1074" i="22"/>
  <c r="D1079" i="22"/>
  <c r="D1077" i="22"/>
  <c r="D1075" i="22"/>
  <c r="D1073" i="22"/>
  <c r="D1070" i="22"/>
  <c r="D1066" i="22"/>
  <c r="D1041" i="22"/>
  <c r="D1037" i="22"/>
  <c r="D1033" i="22"/>
  <c r="D1029" i="22"/>
  <c r="D1025" i="22"/>
  <c r="D987" i="22"/>
  <c r="D986" i="22"/>
  <c r="D995" i="22"/>
  <c r="D991" i="22"/>
  <c r="D990" i="22"/>
  <c r="D965" i="22"/>
  <c r="D961" i="22"/>
  <c r="D957" i="22"/>
  <c r="D953" i="22"/>
  <c r="D949"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75" i="22"/>
  <c r="D770" i="22"/>
  <c r="D737" i="22"/>
  <c r="D736" i="22"/>
  <c r="D729" i="22"/>
  <c r="D728" i="22"/>
  <c r="D721" i="22"/>
  <c r="D720" i="22"/>
  <c r="D699" i="22"/>
  <c r="D698" i="22"/>
  <c r="D691" i="22"/>
  <c r="D690" i="22"/>
  <c r="D683" i="22"/>
  <c r="D682" i="22"/>
  <c r="D695" i="22"/>
  <c r="D694" i="22"/>
  <c r="D687" i="22"/>
  <c r="D686" i="22"/>
  <c r="D661" i="22"/>
  <c r="D660" i="22"/>
  <c r="D653" i="22"/>
  <c r="D652" i="22"/>
  <c r="D645" i="22"/>
  <c r="D644" i="22"/>
  <c r="D619" i="22"/>
  <c r="D618" i="22"/>
  <c r="D611" i="22"/>
  <c r="D610"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356" i="22"/>
  <c r="D355" i="22"/>
  <c r="D352" i="22"/>
  <c r="D351" i="22"/>
  <c r="D348" i="22"/>
  <c r="D347" i="22"/>
  <c r="D344" i="22"/>
  <c r="D343" i="22"/>
  <c r="D340" i="22"/>
  <c r="D339" i="22"/>
  <c r="D319" i="22"/>
  <c r="D318" i="22"/>
  <c r="D311" i="22"/>
  <c r="D310" i="22"/>
  <c r="D303" i="22"/>
  <c r="D302" i="22"/>
  <c r="D315" i="22"/>
  <c r="D314" i="22"/>
  <c r="D307" i="22"/>
  <c r="D306" i="22"/>
  <c r="D280" i="22"/>
  <c r="D279" i="22"/>
  <c r="D276" i="22"/>
  <c r="D275" i="22"/>
  <c r="D272" i="22"/>
  <c r="D271" i="22"/>
  <c r="D268" i="22"/>
  <c r="D267" i="22"/>
  <c r="D264" i="22"/>
  <c r="D263" i="22"/>
  <c r="D243" i="22"/>
  <c r="D242" i="22"/>
  <c r="D235" i="22"/>
  <c r="D234" i="22"/>
  <c r="D227" i="22"/>
  <c r="D226" i="22"/>
  <c r="D205" i="22"/>
  <c r="D201" i="22"/>
  <c r="D197" i="22"/>
  <c r="D193" i="22"/>
  <c r="D189"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699" i="14"/>
  <c r="D698" i="14"/>
  <c r="D697" i="14"/>
  <c r="D694" i="14"/>
  <c r="D693" i="14"/>
  <c r="D690" i="14"/>
  <c r="D689" i="14"/>
  <c r="D660" i="14"/>
  <c r="D652" i="14"/>
  <c r="D659" i="14"/>
  <c r="D656" i="14"/>
  <c r="D655" i="14"/>
  <c r="D651" i="14"/>
  <c r="D648" i="14"/>
  <c r="D647" i="14"/>
  <c r="D644" i="14"/>
  <c r="D643" i="14"/>
  <c r="D661" i="14"/>
  <c r="D657" i="14"/>
  <c r="D653" i="14"/>
  <c r="D649" i="14"/>
  <c r="D645" i="14"/>
  <c r="D623" i="14"/>
  <c r="D622" i="14"/>
  <c r="D615" i="14"/>
  <c r="D614" i="14"/>
  <c r="D607" i="14"/>
  <c r="D606" i="14"/>
  <c r="D585" i="14"/>
  <c r="D581" i="14"/>
  <c r="D577" i="14"/>
  <c r="D573" i="14"/>
  <c r="D569"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33" i="14"/>
  <c r="D429" i="14"/>
  <c r="D425" i="14"/>
  <c r="D421" i="14"/>
  <c r="D417" i="14"/>
  <c r="D395" i="14"/>
  <c r="D390" i="14"/>
  <c r="D389"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42" i="14"/>
  <c r="D241" i="14"/>
  <c r="D238" i="14"/>
  <c r="D237" i="14"/>
  <c r="D227" i="14"/>
  <c r="D226" i="14"/>
  <c r="D230" i="14"/>
  <c r="D205" i="14"/>
  <c r="D204" i="14"/>
  <c r="D197" i="14"/>
  <c r="D196" i="14"/>
  <c r="D189" i="14"/>
  <c r="D188" i="14"/>
  <c r="D166" i="14"/>
  <c r="D162" i="14"/>
  <c r="D158" i="14"/>
  <c r="D154" i="14"/>
  <c r="D150" i="14"/>
  <c r="D129" i="14"/>
  <c r="D125" i="14"/>
  <c r="D121" i="14"/>
  <c r="D117" i="14"/>
  <c r="D113"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703" i="14" l="1"/>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AZ23" i="9" a="1"/>
  <c r="AN27" i="9" a="1"/>
  <c r="AZ31" i="9" a="1"/>
  <c r="AJ21" i="9" a="1"/>
  <c r="CB31" i="9" a="1"/>
  <c r="O35" i="9" a="1"/>
  <c r="BI24" i="9" a="1"/>
  <c r="BC29" i="9" a="1"/>
  <c r="H24" i="9" a="1"/>
  <c r="T28" i="9" a="1"/>
  <c r="X31" i="9" a="1"/>
  <c r="AY22" i="9" a="1"/>
  <c r="M28" i="9" a="1"/>
  <c r="Q32" i="9" a="1"/>
  <c r="S35" i="9" a="1"/>
  <c r="BY31" i="9" a="1"/>
  <c r="R35" i="9" a="1"/>
  <c r="P22" i="9" a="1"/>
  <c r="AZ29" i="9" a="1"/>
  <c r="CJ35" i="9" a="1"/>
  <c r="BQ24" i="9" a="1"/>
  <c r="AS30" i="9" a="1"/>
  <c r="N33" i="9" a="1"/>
  <c r="AA32" i="9" a="1"/>
  <c r="CG28" i="9" a="1"/>
  <c r="AP22" i="9" a="1"/>
  <c r="CG25" i="9" a="1"/>
  <c r="CQ27" i="9" a="1"/>
  <c r="Q30" i="9" a="1"/>
  <c r="K34" i="9" a="1"/>
  <c r="BO23" i="9" a="1"/>
  <c r="CO27" i="9" a="1"/>
  <c r="BI34" i="9" a="1"/>
  <c r="AH24" i="9" a="1"/>
  <c r="AH28" i="9" a="1"/>
  <c r="CA31" i="9" a="1"/>
  <c r="BH22" i="9" a="1"/>
  <c r="T32" i="9" a="1"/>
  <c r="I23" i="9" a="1"/>
  <c r="CK24" i="9" a="1"/>
  <c r="CB34" i="9" a="1"/>
  <c r="G32" i="9" a="1"/>
  <c r="CC33" i="9" a="1"/>
  <c r="T20" i="9" a="1"/>
  <c r="BL32" i="9" a="1"/>
  <c r="BX23" i="9" a="1"/>
  <c r="BA24" i="9" a="1"/>
  <c r="CE34" i="9" a="1"/>
  <c r="AR27" i="9" a="1"/>
  <c r="S31" i="9" a="1"/>
  <c r="BA22" i="9" a="1"/>
  <c r="P31" i="9" a="1"/>
  <c r="BC35" i="9" a="1"/>
  <c r="CR28" i="9" a="1"/>
  <c r="W29" i="9" a="1"/>
  <c r="K35" i="9" a="1"/>
  <c r="BD24" i="9" a="1"/>
  <c r="CL28" i="9" a="1"/>
  <c r="AD23" i="9" a="1"/>
  <c r="CL27" i="9" a="1"/>
  <c r="L30" i="9" a="1"/>
  <c r="Z34" i="9" a="1"/>
  <c r="AW31" i="9" a="1"/>
  <c r="Q35" i="9" a="1"/>
  <c r="CR23" i="9" a="1"/>
  <c r="X29" i="9" a="1"/>
  <c r="E23" i="9" a="1"/>
  <c r="BT34" i="9" a="1"/>
  <c r="AT21" i="9" a="1"/>
  <c r="AA23" i="9" a="1"/>
  <c r="AF34" i="9" a="1"/>
  <c r="CF25" i="9" a="1"/>
  <c r="P24" i="9" a="1"/>
  <c r="Y25" i="9" a="1"/>
  <c r="AL26" i="9" a="1"/>
  <c r="R20" i="9" a="1"/>
  <c r="BG32" i="9" a="1"/>
  <c r="CG22" i="9" a="1"/>
  <c r="AB22" i="9" a="1"/>
  <c r="BN23" i="9" a="1"/>
  <c r="BN27" i="9" a="1"/>
  <c r="BN31" i="9" a="1"/>
  <c r="AV34" i="9" a="1"/>
  <c r="CI31" i="9" a="1"/>
  <c r="BB35" i="9" a="1"/>
  <c r="AL23" i="9" a="1"/>
  <c r="AC25" i="9" a="1"/>
  <c r="BT31" i="9" a="1"/>
  <c r="W35" i="9" a="1"/>
  <c r="CD27" i="9" a="1"/>
  <c r="CH32" i="9" a="1"/>
  <c r="AO23" i="9" a="1"/>
  <c r="BM24" i="9" a="1"/>
  <c r="AK34" i="9" a="1"/>
  <c r="AV27" i="9" a="1"/>
  <c r="AE31" i="9" a="1"/>
  <c r="P32" i="9" a="1"/>
  <c r="CL25" i="9" a="1"/>
  <c r="BR30" i="9" a="1"/>
  <c r="CK30" i="9" a="1"/>
  <c r="K438" i="22"/>
  <c r="AS34" i="9" a="1"/>
  <c r="AV30" i="9" a="1"/>
  <c r="K58" i="18"/>
  <c r="Y27" i="9" a="1"/>
  <c r="AB33" i="9" a="1"/>
  <c r="BZ22" i="9" a="1"/>
  <c r="BK31" i="9" a="1"/>
  <c r="BH23" i="9" a="1"/>
  <c r="BT24" i="9" a="1"/>
  <c r="CK31" i="9" a="1"/>
  <c r="M32" i="9" a="1"/>
  <c r="F26" i="9" a="1"/>
  <c r="CO23" i="9" a="1"/>
  <c r="F35" i="9" a="1"/>
  <c r="CM28" i="9" a="1"/>
  <c r="BM35" i="9" a="1"/>
  <c r="CJ24" i="9" a="1"/>
  <c r="BL21" i="9" a="1"/>
  <c r="H25" i="9" a="1"/>
  <c r="BJ33" i="9" a="1"/>
  <c r="BO25" i="9" a="1"/>
  <c r="BJ32" i="9" a="1"/>
  <c r="AX23" i="9" a="1"/>
  <c r="BL26" i="9" a="1"/>
  <c r="X30" i="9" a="1"/>
  <c r="J27" i="9" a="1"/>
  <c r="BQ31" i="9" a="1"/>
  <c r="BO34" i="9" a="1"/>
  <c r="BX25" i="9" a="1"/>
  <c r="Y35" i="9" a="1"/>
  <c r="AX24" i="9" a="1"/>
  <c r="N26" i="9" a="1"/>
  <c r="CN33" i="9" a="1"/>
  <c r="BJ24" i="9" a="1"/>
  <c r="CQ28" i="9" a="1"/>
  <c r="H30" i="9" a="1"/>
  <c r="AB23" i="9" a="1"/>
  <c r="P27" i="9" a="1"/>
  <c r="CE30" i="9" a="1"/>
  <c r="AO27" i="9" a="1"/>
  <c r="AO31" i="9" a="1"/>
  <c r="AO35" i="9" a="1"/>
  <c r="I21" i="9" a="1"/>
  <c r="X35" i="9" a="1"/>
  <c r="BX24" i="9" a="1"/>
  <c r="H28" i="9" a="1"/>
  <c r="BT33" i="9" a="1"/>
  <c r="AV28" i="9" a="1"/>
  <c r="BH32" i="9" a="1"/>
  <c r="BH35" i="9" a="1"/>
  <c r="CJ26" i="9" a="1"/>
  <c r="Z32" i="9" a="1"/>
  <c r="BU23" i="9" a="1"/>
  <c r="AR24" i="9" a="1"/>
  <c r="CQ35" i="9" a="1"/>
  <c r="AM35" i="9" a="1"/>
  <c r="AG26" i="9" a="1"/>
  <c r="AO29" i="9" a="1"/>
  <c r="O28" i="9" a="1"/>
  <c r="AU32" i="9" a="1"/>
  <c r="AZ34" i="9" a="1"/>
  <c r="BX26" i="9" a="1"/>
  <c r="AG25" i="9" a="1"/>
  <c r="H29" i="9" a="1"/>
  <c r="K628" i="14"/>
  <c r="AP28" i="9" a="1"/>
  <c r="BV32" i="9" a="1"/>
  <c r="BG34" i="9" a="1"/>
  <c r="BJ26" i="9" a="1"/>
  <c r="AW23" i="9" a="1"/>
  <c r="AW27" i="9" a="1"/>
  <c r="AB30" i="9" a="1"/>
  <c r="BQ27" i="9" a="1"/>
  <c r="AK31" i="9" a="1"/>
  <c r="CR34" i="9" a="1"/>
  <c r="AR25" i="9" a="1"/>
  <c r="V31" i="9" a="1"/>
  <c r="CC35" i="9" a="1"/>
  <c r="BM23" i="9" a="1"/>
  <c r="AR28" i="9" a="1"/>
  <c r="AN32" i="9" a="1"/>
  <c r="CR35" i="9" a="1"/>
  <c r="I30" i="9" a="1"/>
  <c r="P23" i="9" a="1"/>
  <c r="CF27" i="9" a="1"/>
  <c r="AM32" i="9" a="1"/>
  <c r="BE21" i="9" a="1"/>
  <c r="BP22" i="9" a="1"/>
  <c r="BP26" i="9" a="1"/>
  <c r="BJ20" i="9" a="1"/>
  <c r="BR22" i="9" a="1"/>
  <c r="T26" i="9" a="1"/>
  <c r="AD20" i="9" a="1"/>
  <c r="CO28" i="9" a="1"/>
  <c r="K29" i="9" a="1"/>
  <c r="BI33" i="9" a="1"/>
  <c r="CK35" i="9" a="1"/>
  <c r="Z24" i="9" a="1"/>
  <c r="BT28" i="9" a="1"/>
  <c r="V29" i="9" a="1"/>
  <c r="U28" i="9" a="1"/>
  <c r="CP32" i="9" a="1"/>
  <c r="W22" i="9" a="1"/>
  <c r="CN26" i="9" a="1"/>
  <c r="G23" i="9" a="1"/>
  <c r="BO27" i="9" a="1"/>
  <c r="BH28" i="9" a="1"/>
  <c r="W21" i="9" a="1"/>
  <c r="CN27" i="9" a="1"/>
  <c r="AG31" i="9" a="1"/>
  <c r="BE32" i="9" a="1"/>
  <c r="AU28" i="9" a="1"/>
  <c r="CA32" i="9" a="1"/>
  <c r="CF34" i="9" a="1"/>
  <c r="Y26" i="9" a="1"/>
  <c r="BB23" i="9" a="1"/>
  <c r="BB27" i="9" a="1"/>
  <c r="BM30" i="9" a="1"/>
  <c r="BU27" i="9" a="1"/>
  <c r="N34" i="9" a="1"/>
  <c r="AJ22" i="9" a="1"/>
  <c r="BL27" i="9" a="1"/>
  <c r="CD34" i="9" a="1"/>
  <c r="BV22" i="9" a="1"/>
  <c r="K1692" i="22"/>
  <c r="BS30" i="9" a="1"/>
  <c r="AL25" i="9" a="1"/>
  <c r="L33" i="9" a="1"/>
  <c r="BD32" i="9" a="1"/>
  <c r="AV26" i="9" a="1"/>
  <c r="BS27" i="9" a="1"/>
  <c r="CR21" i="9" a="1"/>
  <c r="AQ35" i="9" a="1"/>
  <c r="BI29" i="9" a="1"/>
  <c r="CL24" i="9" a="1"/>
  <c r="Z23" i="9" a="1"/>
  <c r="BB28" i="9" a="1"/>
  <c r="S28" i="9" a="1"/>
  <c r="BF28" i="9" a="1"/>
  <c r="BR29" i="9" a="1"/>
  <c r="CM22" i="9" a="1"/>
  <c r="F24" i="9" a="1"/>
  <c r="E33" i="9" a="1"/>
  <c r="AO20" i="9" a="1"/>
  <c r="AE35" i="9" a="1"/>
  <c r="BJ31" i="9" a="1"/>
  <c r="AE32" i="9" a="1"/>
  <c r="BV24" i="9" a="1"/>
  <c r="AW24" i="9" a="1"/>
  <c r="BA28" i="9" a="1"/>
  <c r="BO31" i="9" a="1"/>
  <c r="AM22" i="9" a="1"/>
  <c r="CK32" i="9" a="1"/>
  <c r="L23" i="9" a="1"/>
  <c r="CN28" i="9" a="1"/>
  <c r="K23" i="9" a="1"/>
  <c r="G27" i="9" a="1"/>
  <c r="K31" i="9" a="1"/>
  <c r="BK21" i="9" a="1"/>
  <c r="CR27" i="9" a="1"/>
  <c r="L31" i="9" a="1"/>
  <c r="CN35" i="9" a="1"/>
  <c r="AX28" i="9" a="1"/>
  <c r="CD32" i="9" a="1"/>
  <c r="AZ22" i="9" a="1"/>
  <c r="AO26" i="9" a="1"/>
  <c r="CG34" i="9" a="1"/>
  <c r="AQ23" i="9" a="1"/>
  <c r="CC30" i="9" a="1"/>
  <c r="AR34" i="9" a="1"/>
  <c r="AZ27" i="9" a="1"/>
  <c r="CI35" i="9" a="1"/>
  <c r="BR23" i="9" a="1"/>
  <c r="CP25" i="9" a="1"/>
  <c r="AI24" i="9" a="1"/>
  <c r="BO28" i="9" a="1"/>
  <c r="BT30" i="9" a="1"/>
  <c r="BA33" i="9" a="1"/>
  <c r="CA28" i="9" a="1"/>
  <c r="AG28" i="9" a="1"/>
  <c r="AC23" i="9" a="1"/>
  <c r="AC27" i="9" a="1"/>
  <c r="AC31" i="9" a="1"/>
  <c r="AD34" i="9" a="1"/>
  <c r="G31" i="9" a="1"/>
  <c r="CO35" i="9" a="1"/>
  <c r="BU24" i="9" a="1"/>
  <c r="BH29" i="9" a="1"/>
  <c r="BR27" i="9" a="1"/>
  <c r="BX34" i="9" a="1"/>
  <c r="Y21" i="9" a="1"/>
  <c r="BG31" i="9" a="1"/>
  <c r="AY35" i="9" a="1"/>
  <c r="AF24" i="9" a="1"/>
  <c r="CJ29" i="9" a="1"/>
  <c r="CJ28" i="9" a="1"/>
  <c r="AW28" i="9" a="1"/>
  <c r="CL22" i="9" a="1"/>
  <c r="AU22" i="9" a="1"/>
  <c r="U32" i="9" a="1"/>
  <c r="AI23" i="9" a="1"/>
  <c r="BG28" i="9" a="1"/>
  <c r="CQ34" i="9" a="1"/>
  <c r="BG23" i="9" a="1"/>
  <c r="X27" i="9" a="1"/>
  <c r="Q28" i="9" a="1"/>
  <c r="AD24" i="9" a="1"/>
  <c r="BJ28" i="9" a="1"/>
  <c r="AH30" i="9" a="1"/>
  <c r="E22" i="9" a="1"/>
  <c r="L32" i="9" a="1"/>
  <c r="AK23" i="9" a="1"/>
  <c r="AS26" i="9" a="1"/>
  <c r="AG34" i="9" a="1"/>
  <c r="G26" i="9" a="1"/>
  <c r="BU33" i="9" a="1"/>
  <c r="K400" i="22"/>
  <c r="BE30" i="9" a="1"/>
  <c r="I33" i="9" a="1"/>
  <c r="K172" i="18"/>
  <c r="X32" i="9" a="1"/>
  <c r="F21" i="9" a="1"/>
  <c r="BY29" i="9" a="1"/>
  <c r="W27" i="9" a="1"/>
  <c r="AV31" i="9" a="1"/>
  <c r="CG21" i="9" a="1"/>
  <c r="BJ25" i="9" a="1"/>
  <c r="BS24" i="9" a="1"/>
  <c r="BS28" i="9" a="1"/>
  <c r="AD31" i="9" a="1"/>
  <c r="M33" i="9" a="1"/>
  <c r="CI32" i="9" a="1"/>
  <c r="BV23" i="9" a="1"/>
  <c r="BC22" i="9" a="1"/>
  <c r="AE30" i="9" a="1"/>
  <c r="CG29" i="9" a="1"/>
  <c r="AV23" i="9" a="1"/>
  <c r="BS31" i="9" a="1"/>
  <c r="BL35" i="9" a="1"/>
  <c r="AZ24" i="9" a="1"/>
  <c r="CO29" i="9" a="1"/>
  <c r="CB24" i="9" a="1"/>
  <c r="BI28" i="9" a="1"/>
  <c r="CL32" i="9" a="1"/>
  <c r="BL22" i="9" a="1"/>
  <c r="BU31" i="9" a="1"/>
  <c r="Q25" i="9" a="1"/>
  <c r="AL29" i="9" a="1"/>
  <c r="BX31" i="9" a="1"/>
  <c r="AT25" i="9" a="1"/>
  <c r="CB33" i="9" a="1"/>
  <c r="BW20" i="9" a="1"/>
  <c r="BO33" i="9" a="1"/>
  <c r="BW21" i="9" a="1"/>
  <c r="AE20" i="9" a="1"/>
  <c r="CF35" i="9" a="1"/>
  <c r="AY29" i="9" a="1"/>
  <c r="CF28" i="9" a="1"/>
  <c r="AL22" i="9" a="1"/>
  <c r="CN23" i="9" a="1"/>
  <c r="BS34" i="9" a="1"/>
  <c r="CB27" i="9" a="1"/>
  <c r="AE24" i="9" a="1"/>
  <c r="AH29" i="9" a="1"/>
  <c r="AY23" i="9" a="1"/>
  <c r="BQ35" i="9" a="1"/>
  <c r="AU35" i="9" a="1"/>
  <c r="AV21" i="9" a="1"/>
  <c r="BS35" i="9" a="1"/>
  <c r="Q33" i="9" a="1"/>
  <c r="AX20" i="9" a="1"/>
  <c r="CL35" i="9" a="1"/>
  <c r="W24" i="9" a="1"/>
  <c r="AB26" i="9" a="1"/>
  <c r="BL33" i="9" a="1"/>
  <c r="J28" i="9" a="1"/>
  <c r="AP32" i="9" a="1"/>
  <c r="CJ34" i="9" a="1"/>
  <c r="CF32" i="9" a="1"/>
  <c r="BY23" i="9" a="1"/>
  <c r="CI26" i="9" a="1"/>
  <c r="AU30" i="9" a="1"/>
  <c r="BJ23" i="9" a="1"/>
  <c r="AD27" i="9" a="1"/>
  <c r="AR30" i="9" a="1"/>
  <c r="AR35" i="9" a="1"/>
  <c r="Y24" i="9" a="1"/>
  <c r="AM27" i="9" a="1"/>
  <c r="CM33" i="9" a="1"/>
  <c r="AT28" i="9" a="1"/>
  <c r="AT32" i="9" a="1"/>
  <c r="U27" i="9" a="1"/>
  <c r="AN35" i="9" a="1"/>
  <c r="N24" i="9" a="1"/>
  <c r="BI30" i="9" a="1"/>
  <c r="BM21" i="9" a="1"/>
  <c r="AP27" i="9" a="1"/>
  <c r="BI35" i="9" a="1"/>
  <c r="AN28" i="9" a="1"/>
  <c r="V32" i="9" a="1"/>
  <c r="AA35" i="9" a="1"/>
  <c r="BW32" i="9" a="1"/>
  <c r="CR29" i="9" a="1"/>
  <c r="AJ20" i="9" a="1"/>
  <c r="U23" i="9" a="1"/>
  <c r="CF31" i="9" a="1"/>
  <c r="L24" i="9" a="1"/>
  <c r="F28" i="9" a="1"/>
  <c r="AC34" i="9" a="1"/>
  <c r="R27" i="9" a="1"/>
  <c r="BZ25" i="9" a="1"/>
  <c r="BE23" i="9" a="1"/>
  <c r="AM23" i="9" a="1"/>
  <c r="S23" i="9" a="1"/>
  <c r="CO21" i="9" a="1"/>
  <c r="BE25" i="9" a="1"/>
  <c r="K1730" i="22"/>
  <c r="L27" i="9" a="1"/>
  <c r="Z35" i="9" a="1"/>
  <c r="AH23" i="9" a="1"/>
  <c r="AH31" i="9" a="1"/>
  <c r="BZ27" i="9" a="1"/>
  <c r="BZ35" i="9" a="1"/>
  <c r="AF28" i="9" a="1"/>
  <c r="M22" i="9" a="1"/>
  <c r="N31" i="9" a="1"/>
  <c r="V28" i="9" a="1"/>
  <c r="T23" i="9" a="1"/>
  <c r="BM25" i="9" a="1"/>
  <c r="BM31" i="9" a="1"/>
  <c r="BP34" i="9" a="1"/>
  <c r="K590" i="14"/>
  <c r="T30" i="9" a="1"/>
  <c r="AA26" i="9" a="1"/>
  <c r="W28" i="9" a="1"/>
  <c r="CH25" i="9" a="1"/>
  <c r="AI26" i="9" a="1"/>
  <c r="BD20" i="9" a="1"/>
  <c r="CQ31" i="9" a="1"/>
  <c r="AK29" i="9" a="1"/>
  <c r="K134" i="18"/>
  <c r="K22" i="9" a="1"/>
  <c r="BY22" i="9" a="1"/>
  <c r="K1312" i="22"/>
  <c r="BS25" i="9" a="1"/>
  <c r="BW30" i="9" a="1"/>
  <c r="BC25" i="9" a="1"/>
  <c r="K24" i="9" a="1"/>
  <c r="K32" i="9" a="1"/>
  <c r="AD32" i="9" a="1"/>
  <c r="AF26" i="9" a="1"/>
  <c r="BM27" i="9" a="1"/>
  <c r="CO32" i="9" a="1"/>
  <c r="R31" i="9" a="1"/>
  <c r="AV22" i="9" a="1"/>
  <c r="I32" i="9" a="1"/>
  <c r="BA30" i="9" a="1"/>
  <c r="S32" i="9" a="1"/>
  <c r="BE29" i="9" a="1"/>
  <c r="CI29" i="9" a="1"/>
  <c r="AF30" i="9" a="1"/>
  <c r="AR26" i="9" a="1"/>
  <c r="BB21" i="9" a="1"/>
  <c r="AH35" i="9" a="1"/>
  <c r="BO26" i="9" a="1"/>
  <c r="CB20" i="9" a="1"/>
  <c r="BP24" i="9" a="1"/>
  <c r="AK33" i="9" a="1"/>
  <c r="AH26" i="9" a="1"/>
  <c r="AP20" i="9" a="1"/>
  <c r="CM29" i="9" a="1"/>
  <c r="AC29" i="9" a="1"/>
  <c r="CP23" i="9" a="1"/>
  <c r="BY34" i="9" a="1"/>
  <c r="BU22" i="9" a="1"/>
  <c r="K134" i="14"/>
  <c r="AD35" i="9" a="1"/>
  <c r="CK21" i="9" a="1"/>
  <c r="AY25" i="9" a="1"/>
  <c r="K590" i="22"/>
  <c r="V20" i="9" a="1"/>
  <c r="BM34" i="9" a="1"/>
  <c r="R24" i="9" a="1"/>
  <c r="O27" i="9" a="1"/>
  <c r="CH22" i="9" a="1"/>
  <c r="BL23" i="9" a="1"/>
  <c r="CN34" i="9" a="1"/>
  <c r="O24" i="9" a="1"/>
  <c r="AH32" i="9" a="1"/>
  <c r="AP24" i="9" a="1"/>
  <c r="BH24" i="9" a="1"/>
  <c r="Y28" i="9" a="1"/>
  <c r="AX32" i="9" a="1"/>
  <c r="T29" i="9" a="1"/>
  <c r="L26" i="9" a="1"/>
  <c r="BS29" i="9" a="1"/>
  <c r="V23" i="9" a="1"/>
  <c r="BS22" i="9" a="1"/>
  <c r="AX31" i="9" a="1"/>
  <c r="BK34" i="9" a="1"/>
  <c r="CM20" i="9" a="1"/>
  <c r="S26" i="9" a="1"/>
  <c r="AP26" i="9" a="1"/>
  <c r="AZ32" i="9" a="1"/>
  <c r="BR34" i="9" a="1"/>
  <c r="AY20" i="9" a="1"/>
  <c r="BL28" i="9" a="1"/>
  <c r="AG22" i="9" a="1"/>
  <c r="K1236" i="22"/>
  <c r="AJ29" i="9" a="1"/>
  <c r="AG30" i="9" a="1"/>
  <c r="AR20" i="9" a="1"/>
  <c r="I26" i="9" a="1"/>
  <c r="AZ26" i="9" a="1"/>
  <c r="BC31" i="9" a="1"/>
  <c r="BL24" i="9" a="1"/>
  <c r="CH35" i="9" a="1"/>
  <c r="E35" i="9" a="1"/>
  <c r="AC28" i="9" a="1"/>
  <c r="CB25" i="9" a="1"/>
  <c r="BO32" i="9" a="1"/>
  <c r="X23" i="9" a="1"/>
  <c r="T27" i="9" a="1"/>
  <c r="J31" i="9" a="1"/>
  <c r="BB24" i="9" a="1"/>
  <c r="J32" i="9" a="1"/>
  <c r="J23" i="9" a="1"/>
  <c r="BW25" i="9" a="1"/>
  <c r="CQ33" i="9" a="1"/>
  <c r="CG35" i="9" a="1"/>
  <c r="K25" i="9" a="1"/>
  <c r="BA27" i="9" a="1"/>
  <c r="AV35" i="9" a="1"/>
  <c r="AK28" i="9" a="1"/>
  <c r="AR32" i="9" a="1"/>
  <c r="AP21" i="9" a="1"/>
  <c r="BZ29" i="9" a="1"/>
  <c r="BP35" i="9" a="1"/>
  <c r="F29" i="9" a="1"/>
  <c r="BW23" i="9" a="1"/>
  <c r="P35" i="9" a="1"/>
  <c r="BE27" i="9" a="1"/>
  <c r="AJ32" i="9" a="1"/>
  <c r="CG32" i="9" a="1"/>
  <c r="E34" i="9" a="1"/>
  <c r="BZ23" i="9" a="1"/>
  <c r="AM24" i="9" a="1"/>
  <c r="CL31" i="9" a="1"/>
  <c r="CE28" i="9" a="1"/>
  <c r="AP35" i="9" a="1"/>
  <c r="CR31" i="9" a="1"/>
  <c r="AI25" i="9" a="1"/>
  <c r="AV24" i="9" a="1"/>
  <c r="AX21" i="9" a="1"/>
  <c r="BY30" i="9" a="1"/>
  <c r="BN22" i="9" a="1"/>
  <c r="P25" i="9" a="1"/>
  <c r="BL34" i="9" a="1"/>
  <c r="BR20" i="9" a="1"/>
  <c r="BR33" i="9" a="1"/>
  <c r="K96" i="18"/>
  <c r="BC32" i="9" a="1"/>
  <c r="AS29" i="9" a="1"/>
  <c r="V33" i="9" a="1"/>
  <c r="CC20" i="9" a="1"/>
  <c r="BL30" i="9" a="1"/>
  <c r="AB25" i="9" a="1"/>
  <c r="M20" i="9" a="1"/>
  <c r="Z29" i="9" a="1"/>
  <c r="BF29" i="9" a="1"/>
  <c r="CI20" i="9" a="1"/>
  <c r="AB24" i="9" a="1"/>
  <c r="AJ26" i="9" a="1"/>
  <c r="AH34" i="9" a="1"/>
  <c r="AL27" i="9" a="1"/>
  <c r="BN32" i="9" a="1"/>
  <c r="BE35" i="9" a="1"/>
  <c r="BZ26" i="9" a="1"/>
  <c r="BR28" i="9" a="1"/>
  <c r="AC33" i="9" a="1"/>
  <c r="W32" i="9" a="1"/>
  <c r="AI27" i="9" a="1"/>
  <c r="BV34" i="9" a="1"/>
  <c r="CL23" i="9" a="1"/>
  <c r="AU27" i="9" a="1"/>
  <c r="AN26" i="9" a="1"/>
  <c r="X21" i="9" a="1"/>
  <c r="CR20" i="9" a="1"/>
  <c r="AJ34" i="9" a="1"/>
  <c r="AA29" i="9" a="1"/>
  <c r="BH31" i="9" a="1"/>
  <c r="AT26" i="9" a="1"/>
  <c r="K552" i="14"/>
  <c r="BT27" i="9" a="1"/>
  <c r="G29" i="9" a="1"/>
  <c r="K172" i="14"/>
  <c r="M31" i="9" a="1"/>
  <c r="F34" i="9" a="1"/>
  <c r="X25" i="9" a="1"/>
  <c r="CP27" i="9" a="1"/>
  <c r="BK25" i="9" a="1"/>
  <c r="AX29" i="9" a="1"/>
  <c r="K248" i="22"/>
  <c r="BC24" i="9" a="1"/>
  <c r="AO30" i="9" a="1"/>
  <c r="BT21" i="9" a="1"/>
  <c r="AJ23" i="9" a="1"/>
  <c r="CQ20" i="9" a="1"/>
  <c r="BJ29" i="9" a="1"/>
  <c r="BU20" i="9" a="1"/>
  <c r="AB28" i="9" a="1"/>
  <c r="AH22" i="9" a="1"/>
  <c r="E24" i="9" a="1"/>
  <c r="BC28" i="9" a="1"/>
  <c r="Z30" i="9" a="1"/>
  <c r="CH31" i="9" a="1"/>
  <c r="AA21" i="9" a="1"/>
  <c r="CI28" i="9" a="1"/>
  <c r="W26" i="9" a="1"/>
  <c r="Q24" i="9" a="1"/>
  <c r="AN24" i="9" a="1"/>
  <c r="BL20" i="9" a="1"/>
  <c r="L21" i="9" a="1"/>
  <c r="CQ30" i="9" a="1"/>
  <c r="AZ25" i="9" a="1"/>
  <c r="BG27" i="9" a="1"/>
  <c r="AQ21" i="9" a="1"/>
  <c r="K704" i="22"/>
  <c r="AX25" i="9" a="1"/>
  <c r="CN30" i="9" a="1"/>
  <c r="AB29" i="9" a="1"/>
  <c r="AT34" i="9" a="1"/>
  <c r="AO28" i="9" a="1"/>
  <c r="AN34" i="9" a="1"/>
  <c r="BT22" i="9" a="1"/>
  <c r="V35" i="9" a="1"/>
  <c r="BN33" i="9" a="1"/>
  <c r="J21" i="9" a="1"/>
  <c r="AA31" i="9" a="1"/>
  <c r="K134" i="15"/>
  <c r="CE26" i="9" a="1"/>
  <c r="AQ27" i="9" a="1"/>
  <c r="U31" i="9" a="1"/>
  <c r="E32" i="9" a="1"/>
  <c r="BV31" i="9" a="1"/>
  <c r="X26" i="9" a="1"/>
  <c r="X34" i="9" a="1"/>
  <c r="M27" i="9" a="1"/>
  <c r="W34" i="9" a="1"/>
  <c r="AE27" i="9" a="1"/>
  <c r="BW24" i="9" a="1"/>
  <c r="AG32" i="9" a="1"/>
  <c r="N21" i="9" a="1"/>
  <c r="AB34" i="9" a="1"/>
  <c r="CP28" i="9" a="1"/>
  <c r="AT22" i="9" a="1"/>
  <c r="AN33" i="9" a="1"/>
  <c r="CK23" i="9" a="1"/>
  <c r="BN35" i="9" a="1"/>
  <c r="BU35" i="9" a="1"/>
  <c r="T21" i="9" a="1"/>
  <c r="BV30" i="9" a="1"/>
  <c r="BW31" i="9" a="1"/>
  <c r="H27" i="9" a="1"/>
  <c r="CH34" i="9" a="1"/>
  <c r="P26" i="9" a="1"/>
  <c r="H23" i="9" a="1"/>
  <c r="AD33" i="9" a="1"/>
  <c r="S24" i="9" a="1"/>
  <c r="AH27" i="9" a="1"/>
  <c r="H34" i="9" a="1"/>
  <c r="BZ31" i="9" a="1"/>
  <c r="BE24" i="9" a="1"/>
  <c r="BM32" i="9" a="1"/>
  <c r="AI32" i="9" a="1"/>
  <c r="AD28" i="9" a="1"/>
  <c r="Z33" i="9" a="1"/>
  <c r="CP22" i="9" a="1"/>
  <c r="K514" i="22"/>
  <c r="AS22" i="9" a="1"/>
  <c r="L34" i="9" a="1"/>
  <c r="AA24" i="9" a="1"/>
  <c r="CP33" i="9" a="1"/>
  <c r="K362" i="22"/>
  <c r="Y22" i="9" a="1"/>
  <c r="BL25" i="9" a="1"/>
  <c r="M29" i="9" a="1"/>
  <c r="CA35" i="9" a="1"/>
  <c r="AQ22" i="9" a="1"/>
  <c r="AU34" i="9" a="1"/>
  <c r="AQ31" i="9" a="1"/>
  <c r="AX34" i="9" a="1"/>
  <c r="CE25" i="9" a="1"/>
  <c r="K58" i="13"/>
  <c r="X28" i="9" a="1"/>
  <c r="CO22" i="9" a="1"/>
  <c r="AC30" i="9" a="1"/>
  <c r="AQ28" i="9" a="1"/>
  <c r="AW33" i="9" a="1"/>
  <c r="R23" i="9" a="1"/>
  <c r="AX30" i="9" a="1"/>
  <c r="F31" i="9" a="1"/>
  <c r="AN25" i="9" a="1"/>
  <c r="AX35" i="9" a="1"/>
  <c r="AJ28" i="9" a="1"/>
  <c r="BM22" i="9" a="1"/>
  <c r="BJ35" i="9" a="1"/>
  <c r="AP30" i="9" a="1"/>
  <c r="AQ24" i="9" a="1"/>
  <c r="L29" i="9" a="1"/>
  <c r="AG27" i="9" a="1"/>
  <c r="BR21" i="9" a="1"/>
  <c r="BP20" i="9" a="1"/>
  <c r="BO22" i="9" a="1"/>
  <c r="P34" i="9" a="1"/>
  <c r="BF20" i="9" a="1"/>
  <c r="O26" i="9" a="1"/>
  <c r="BH25" i="9" a="1"/>
  <c r="Y20" i="9" a="1"/>
  <c r="AS35" i="9" a="1"/>
  <c r="BS26" i="9" a="1"/>
  <c r="AL34" i="9" a="1"/>
  <c r="CP31" i="9" a="1"/>
  <c r="J34" i="9" a="1"/>
  <c r="AU25" i="9" a="1"/>
  <c r="AP23" i="9" a="1"/>
  <c r="BH26" i="9" a="1"/>
  <c r="AK22" i="9" a="1"/>
  <c r="K1768" i="22"/>
  <c r="CC28" i="9" a="1"/>
  <c r="AN29" i="9" a="1"/>
  <c r="K818" i="22"/>
  <c r="BO24" i="9" a="1"/>
  <c r="CE31" i="9" a="1"/>
  <c r="BB25" i="9" a="1"/>
  <c r="AW30" i="9" a="1"/>
  <c r="BK32" i="9" a="1"/>
  <c r="F27" i="9" a="1"/>
  <c r="Q23" i="9" a="1"/>
  <c r="I28" i="9" a="1"/>
  <c r="AY28" i="9" a="1"/>
  <c r="CD33" i="9" a="1"/>
  <c r="BP27" i="9" a="1"/>
  <c r="CD29" i="9" a="1"/>
  <c r="BX30" i="9" a="1"/>
  <c r="G20" i="9" a="1"/>
  <c r="BW34" i="9" a="1"/>
  <c r="CN20" i="9" a="1"/>
  <c r="AH33" i="9" a="1"/>
  <c r="BD25" i="9" a="1"/>
  <c r="BD28" i="9" a="1"/>
  <c r="AI22" i="9" a="1"/>
  <c r="AS20" i="9" a="1"/>
  <c r="BU26" i="9" a="1"/>
  <c r="BF21" i="9" a="1"/>
  <c r="W23" i="9" a="1"/>
  <c r="AG29" i="9" a="1"/>
  <c r="BA20" i="9" a="1"/>
  <c r="CO34" i="9" a="1"/>
  <c r="AW25" i="9" a="1"/>
  <c r="CF20" i="9" a="1"/>
  <c r="CI21" i="9" a="1"/>
  <c r="K780" i="22"/>
  <c r="BS23" i="9" a="1"/>
  <c r="AU31" i="9" a="1"/>
  <c r="U35" i="9" a="1"/>
  <c r="BQ26" i="9" a="1"/>
  <c r="CK34" i="9" a="1"/>
  <c r="BH34" i="9" a="1"/>
  <c r="AD21" i="9" a="1"/>
  <c r="AJ33" i="9" a="1"/>
  <c r="CD26" i="9" a="1"/>
  <c r="AI31" i="9" a="1"/>
  <c r="U24" i="9" a="1"/>
  <c r="BZ21" i="9" a="1"/>
  <c r="BK29" i="9" a="1"/>
  <c r="K742" i="22"/>
  <c r="CJ21" i="9" a="1"/>
  <c r="AZ35" i="9" a="1"/>
  <c r="AJ24" i="9" a="1"/>
  <c r="AB27" i="9" a="1"/>
  <c r="BG24" i="9" a="1"/>
  <c r="AZ21" i="9" a="1"/>
  <c r="N25" i="9" a="1"/>
  <c r="K1426" i="22"/>
  <c r="AB31" i="9" a="1"/>
  <c r="BF27" i="9" a="1"/>
  <c r="AE23" i="9" a="1"/>
  <c r="AD26" i="9" a="1"/>
  <c r="M24" i="9" a="1"/>
  <c r="Z31" i="9" a="1"/>
  <c r="BR25" i="9" a="1"/>
  <c r="AM28" i="9" a="1"/>
  <c r="BQ33" i="9" a="1"/>
  <c r="CE32" i="9" a="1"/>
  <c r="AA27" i="9" a="1"/>
  <c r="CB32" i="9" a="1"/>
  <c r="CH23" i="9" a="1"/>
  <c r="AK26" i="9" a="1"/>
  <c r="BD22" i="9" a="1"/>
  <c r="AO21" i="9" a="1"/>
  <c r="AY31" i="9" a="1"/>
  <c r="BB26" i="9" a="1"/>
  <c r="K210" i="14"/>
  <c r="AK32" i="9" a="1"/>
  <c r="BY33" i="9" a="1"/>
  <c r="AB20" i="9" a="1"/>
  <c r="AK25" i="9" a="1"/>
  <c r="AQ34" i="9" a="1"/>
  <c r="K172" i="5"/>
  <c r="BY24" i="9" a="1"/>
  <c r="CC22" i="9" a="1"/>
  <c r="AU26" i="9" a="1"/>
  <c r="L35" i="9" a="1"/>
  <c r="CL30" i="9" a="1"/>
  <c r="CM34" i="9" a="1"/>
  <c r="AS23" i="9" a="1"/>
  <c r="AR31" i="9" a="1"/>
  <c r="CL29" i="9" a="1"/>
  <c r="K552" i="22"/>
  <c r="BR31" i="9" a="1"/>
  <c r="V21" i="9" a="1"/>
  <c r="CD24" i="9" a="1"/>
  <c r="AL24" i="9" a="1"/>
  <c r="AL32" i="9" a="1"/>
  <c r="CD28" i="9" a="1"/>
  <c r="CF22" i="9" a="1"/>
  <c r="BP31" i="9" a="1"/>
  <c r="AM25" i="9" a="1"/>
  <c r="CM24" i="9" a="1"/>
  <c r="CO26" i="9" a="1"/>
  <c r="BZ32" i="9" a="1"/>
  <c r="BD26" i="9" a="1"/>
  <c r="F32" i="9" a="1"/>
  <c r="BJ21" i="9" a="1"/>
  <c r="K58" i="5"/>
  <c r="H22" i="9" a="1"/>
  <c r="AA34" i="9" a="1"/>
  <c r="CB35" i="9" a="1"/>
  <c r="AE22" i="9" a="1"/>
  <c r="AI34" i="9" a="1"/>
  <c r="K1388" i="22"/>
  <c r="CA22" i="9" a="1"/>
  <c r="U33" i="9" a="1"/>
  <c r="K1464" i="22"/>
  <c r="Z26" i="9" a="1"/>
  <c r="BK26" i="9" a="1"/>
  <c r="BX20" i="9" a="1"/>
  <c r="BT25" i="9" a="1"/>
  <c r="N29" i="9" a="1"/>
  <c r="CC29" i="9" a="1"/>
  <c r="BB20" i="9" a="1"/>
  <c r="CI33" i="9" a="1"/>
  <c r="I29" i="9" a="1"/>
  <c r="H20" i="9" a="1"/>
  <c r="AS24" i="9" a="1"/>
  <c r="AS32" i="9" a="1"/>
  <c r="CG31" i="9" a="1"/>
  <c r="M30" i="9" a="1"/>
  <c r="CG33" i="9" a="1"/>
  <c r="AL31" i="9" a="1"/>
  <c r="BX35" i="9" a="1"/>
  <c r="BI27" i="9" a="1"/>
  <c r="AW35" i="9" a="1"/>
  <c r="CO24" i="9" a="1"/>
  <c r="AQ25" i="9" a="1"/>
  <c r="AN22" i="9" a="1"/>
  <c r="R29" i="9" a="1"/>
  <c r="AU20" i="9" a="1"/>
  <c r="AM29" i="9" a="1"/>
  <c r="K20" i="9" a="1"/>
  <c r="CI34" i="9" a="1"/>
  <c r="T25" i="9" a="1"/>
  <c r="AU23" i="9" a="1"/>
  <c r="AX26" i="9" a="1"/>
  <c r="G24" i="9" a="1"/>
  <c r="AI30" i="9" a="1"/>
  <c r="K400" i="14"/>
  <c r="CD23" i="9" a="1"/>
  <c r="S33" i="9" a="1"/>
  <c r="BS20" i="9" a="1"/>
  <c r="S30" i="9" a="1"/>
  <c r="AU29" i="9" a="1"/>
  <c r="BX28" i="9" a="1"/>
  <c r="BK24" i="9" a="1"/>
  <c r="CN24" i="9" a="1"/>
  <c r="BM28" i="9" a="1"/>
  <c r="CF26" i="9" a="1"/>
  <c r="Q34" i="9" a="1"/>
  <c r="CP30" i="9" a="1"/>
  <c r="CO20" i="9" a="1"/>
  <c r="BD33" i="9" a="1"/>
  <c r="K20" i="14"/>
  <c r="S21" i="9" a="1"/>
  <c r="BV25" i="9" a="1"/>
  <c r="O32" i="9" a="1"/>
  <c r="O30" i="9" a="1"/>
  <c r="CM23" i="9" a="1"/>
  <c r="BA21" i="9" a="1"/>
  <c r="Z20" i="9" a="1"/>
  <c r="BV33" i="9" a="1"/>
  <c r="CK27" i="9" a="1"/>
  <c r="CL21" i="9" a="1"/>
  <c r="BA34" i="9" a="1"/>
  <c r="AO24" i="9" a="1"/>
  <c r="BY32" i="9" a="1"/>
  <c r="CJ32" i="9" a="1"/>
  <c r="E27" i="9" a="1"/>
  <c r="AJ35" i="9" a="1"/>
  <c r="N27" i="9" a="1"/>
  <c r="CA24" i="9" a="1"/>
  <c r="BW29" i="9" a="1"/>
  <c r="CE35" i="9" a="1"/>
  <c r="BK20" i="9" a="1"/>
  <c r="BP25" i="9" a="1"/>
  <c r="K362" i="14"/>
  <c r="CE29" i="9" a="1"/>
  <c r="CH29" i="9" a="1"/>
  <c r="AO32" i="9" a="1"/>
  <c r="BZ34" i="9" a="1"/>
  <c r="K1198" i="22"/>
  <c r="CM21" i="9" a="1"/>
  <c r="BM29" i="9" a="1"/>
  <c r="CQ32" i="9" a="1"/>
  <c r="U26" i="9" a="1"/>
  <c r="L20" i="9" a="1"/>
  <c r="CA34" i="9" a="1"/>
  <c r="K1806" i="22"/>
  <c r="BP30" i="9" a="1"/>
  <c r="AL21" i="9" a="1"/>
  <c r="CL34" i="9" a="1"/>
  <c r="AE28" i="9" a="1"/>
  <c r="AX27" i="9" a="1"/>
  <c r="CN31" i="9" a="1"/>
  <c r="AC32" i="9" a="1"/>
  <c r="BX33" i="9" a="1"/>
  <c r="P21" i="9" a="1"/>
  <c r="CB28" i="9" a="1"/>
  <c r="V25" i="9" a="1"/>
  <c r="BA35" i="9" a="1"/>
  <c r="X33" i="9" a="1"/>
  <c r="BH20" i="9" a="1"/>
  <c r="CH33" i="9" a="1"/>
  <c r="CD25" i="9" a="1"/>
  <c r="AE34" i="9" a="1"/>
  <c r="Z25" i="9" a="1"/>
  <c r="AL20" i="9" a="1"/>
  <c r="CH21" i="9" a="1"/>
  <c r="CC21" i="9" a="1"/>
  <c r="O29" i="9" a="1"/>
  <c r="AY24" i="9" a="1"/>
  <c r="BR32" i="9" a="1"/>
  <c r="BE22" i="9" a="1"/>
  <c r="AM31" i="9" a="1"/>
  <c r="CC24" i="9" a="1"/>
  <c r="CF24" i="9" a="1"/>
  <c r="G25" i="9" a="1"/>
  <c r="CF30" i="9" a="1"/>
  <c r="BH33" i="9" a="1"/>
  <c r="CM31" i="9" a="1"/>
  <c r="CO25" i="9" a="1"/>
  <c r="K210" i="5"/>
  <c r="CJ33" i="9" a="1"/>
  <c r="K96" i="22"/>
  <c r="BF22" i="9" a="1"/>
  <c r="CM25" i="9" a="1"/>
  <c r="AV32" i="9" a="1"/>
  <c r="BN29" i="9" a="1"/>
  <c r="Q20" i="9" a="1"/>
  <c r="W31" i="9" a="1"/>
  <c r="BN34" i="9" a="1"/>
  <c r="BP32" i="9" a="1"/>
  <c r="K27" i="9" a="1"/>
  <c r="V24" i="9" a="1"/>
  <c r="BL31" i="9" a="1"/>
  <c r="AT31" i="9" a="1"/>
  <c r="H32" i="9" a="1"/>
  <c r="BK30" i="9" a="1"/>
  <c r="AZ30" i="9" a="1"/>
  <c r="V34" i="9" a="1"/>
  <c r="CP20" i="9" a="1"/>
  <c r="J30" i="9" a="1"/>
  <c r="O20" i="9" a="1"/>
  <c r="BC21" i="9" a="1"/>
  <c r="BZ30" i="9" a="1"/>
  <c r="AB35" i="9" a="1"/>
  <c r="E25" i="9" a="1"/>
  <c r="BR35" i="9" a="1"/>
  <c r="W33" i="9" a="1"/>
  <c r="X20" i="9" a="1"/>
  <c r="CN32" i="9" a="1"/>
  <c r="CD21" i="9" a="1"/>
  <c r="BT20" i="9" a="1"/>
  <c r="CO30" i="9" a="1"/>
  <c r="P29" i="9" a="1"/>
  <c r="W25" i="9" a="1"/>
  <c r="AY34" i="9" a="1"/>
  <c r="BE20" i="9" a="1"/>
  <c r="AF33" i="9" a="1"/>
  <c r="AM34" i="9" a="1"/>
  <c r="R32" i="9" a="1"/>
  <c r="CE33" i="9" a="1"/>
  <c r="BU28" i="9" a="1"/>
  <c r="G30" i="9" a="1"/>
  <c r="CE23" i="9" a="1"/>
  <c r="BO30" i="9" a="1"/>
  <c r="CM27" i="9" a="1"/>
  <c r="CI27" i="9" a="1"/>
  <c r="CE27" i="9" a="1"/>
  <c r="BH30" i="9" a="1"/>
  <c r="AR21" i="9" a="1"/>
  <c r="CM30" i="9" a="1"/>
  <c r="BP33" i="9" a="1"/>
  <c r="AJ30" i="9" a="1"/>
  <c r="T34" i="9" a="1"/>
  <c r="BU29" i="9" a="1"/>
  <c r="M26" i="9" a="1"/>
  <c r="BC33" i="9" a="1"/>
  <c r="AC26" i="9" a="1"/>
  <c r="K476" i="22"/>
  <c r="AF35" i="9" a="1"/>
  <c r="AA33" i="9" a="1"/>
  <c r="AP33" i="9" a="1"/>
  <c r="AA25" i="9" a="1"/>
  <c r="BZ20" i="9" a="1"/>
  <c r="K58" i="14"/>
  <c r="AE33" i="9" a="1"/>
  <c r="AI35" i="9" a="1"/>
  <c r="BD30" i="9" a="1"/>
  <c r="BT29" i="9" a="1"/>
  <c r="BO35" i="9" a="1"/>
  <c r="CP21" i="9" a="1"/>
  <c r="BR26" i="9" a="1"/>
  <c r="Q29" i="9" a="1"/>
  <c r="BD31" i="9" a="1"/>
  <c r="W30" i="9" a="1"/>
  <c r="BU34" i="9" a="1"/>
  <c r="BF33" i="9" a="1"/>
  <c r="BC30" i="9" a="1"/>
  <c r="K324" i="14"/>
  <c r="BE26" i="9" a="1"/>
  <c r="K1084" i="22"/>
  <c r="AS28" i="9" a="1"/>
  <c r="U22" i="9" a="1"/>
  <c r="BU32" i="9" a="1"/>
  <c r="BV26" i="9" a="1"/>
  <c r="CG24" i="9" a="1"/>
  <c r="R33" i="9" a="1"/>
  <c r="H21" i="9" a="1"/>
  <c r="CK33" i="9" a="1"/>
  <c r="CM35" i="9" a="1"/>
  <c r="BS21" i="9" a="1"/>
  <c r="AC24" i="9" a="1"/>
  <c r="AU21" i="9" a="1"/>
  <c r="K1844" i="22"/>
  <c r="BP21" i="9" a="1"/>
  <c r="CI30" i="9" a="1"/>
  <c r="BK28" i="9" a="1"/>
  <c r="AS21" i="9" a="1"/>
  <c r="BP28" i="9" a="1"/>
  <c r="BA26" i="9" a="1"/>
  <c r="BK33" i="9" a="1"/>
  <c r="AG20" i="9" a="1"/>
  <c r="CA20" i="9" a="1"/>
  <c r="P28" i="9" a="1"/>
  <c r="BP23" i="9" a="1"/>
  <c r="Q27" i="9" a="1"/>
  <c r="BQ32" i="9" a="1"/>
  <c r="AY32" i="9" a="1"/>
  <c r="AS31" i="9" a="1"/>
  <c r="U30" i="9" a="1"/>
  <c r="AG21" i="9" a="1"/>
  <c r="CE21" i="9" a="1"/>
  <c r="AW20" i="9" a="1"/>
  <c r="CR22" i="9" a="1"/>
  <c r="CH20" i="9" a="1"/>
  <c r="AJ25" i="9" a="1"/>
  <c r="BS33" i="9" a="1"/>
  <c r="BX27" i="9" a="1"/>
  <c r="BC34" i="9" a="1"/>
  <c r="BQ28" i="9" a="1"/>
  <c r="CN25" i="9" a="1"/>
  <c r="K20" i="18"/>
  <c r="CH27" i="9" a="1"/>
  <c r="CH30" i="9" a="1"/>
  <c r="BC20" i="9" a="1"/>
  <c r="K20" i="22"/>
  <c r="K96" i="15"/>
  <c r="I27" i="9" a="1"/>
  <c r="AC35" i="9" a="1"/>
  <c r="U25" i="9" a="1"/>
  <c r="AT27" i="9" a="1"/>
  <c r="CC34" i="9" a="1"/>
  <c r="N35" i="9" a="1"/>
  <c r="AK35" i="9" a="1"/>
  <c r="CQ24" i="9" a="1"/>
  <c r="BK22" i="9" a="1"/>
  <c r="AF21" i="9" a="1"/>
  <c r="BN20" i="9" a="1"/>
  <c r="J24" i="9" a="1"/>
  <c r="T33" i="9" a="1"/>
  <c r="AA20" i="9" a="1"/>
  <c r="BI21" i="9" a="1"/>
  <c r="J25" i="9" a="1"/>
  <c r="CQ21" i="9" a="1"/>
  <c r="AQ33" i="9" a="1"/>
  <c r="AQ26" i="9" a="1"/>
  <c r="AG33" i="9" a="1"/>
  <c r="AZ20" i="9" a="1"/>
  <c r="K666" i="22"/>
  <c r="AO25" i="9" a="1"/>
  <c r="AT33" i="9" a="1"/>
  <c r="BF30" i="9" a="1"/>
  <c r="S22" i="9" a="1"/>
  <c r="J35" i="9" a="1"/>
  <c r="CK28" i="9" a="1"/>
  <c r="Q31" i="9" a="1"/>
  <c r="AM20" i="9" a="1"/>
  <c r="CQ25" i="9" a="1"/>
  <c r="V27" i="9" a="1"/>
  <c r="AE29" i="9" a="1"/>
  <c r="BK27" i="9" a="1"/>
  <c r="BB33" i="9" a="1"/>
  <c r="K628" i="22"/>
  <c r="M21" i="9" a="1"/>
  <c r="U29" i="9" a="1"/>
  <c r="BE31" i="9" a="1"/>
  <c r="AU33" i="9" a="1"/>
  <c r="K58" i="22"/>
  <c r="BQ29" i="9" a="1"/>
  <c r="BN21" i="9" a="1"/>
  <c r="CJ22" i="9" a="1"/>
  <c r="AL30" i="9" a="1"/>
  <c r="BB22" i="9" a="1"/>
  <c r="BN28" i="9" a="1"/>
  <c r="BQ23" i="9" a="1"/>
  <c r="BE28" i="9" a="1"/>
  <c r="L22" i="9" a="1"/>
  <c r="M34" i="9" a="1"/>
  <c r="J22" i="9" a="1"/>
  <c r="CR32" i="9" a="1"/>
  <c r="AD25" i="9" a="1"/>
  <c r="BA31" i="9" a="1"/>
  <c r="V22" i="9" a="1"/>
  <c r="K514" i="14"/>
  <c r="S25" i="9" a="1"/>
  <c r="AD29" i="9" a="1"/>
  <c r="M35" i="9" a="1"/>
  <c r="BG30" i="9" a="1"/>
  <c r="CR33" i="9" a="1"/>
  <c r="BM26" i="9" a="1"/>
  <c r="U21" i="9" a="1"/>
  <c r="AF32" i="9" a="1"/>
  <c r="AQ32" i="9" a="1"/>
  <c r="CQ23" i="9" a="1"/>
  <c r="CI25" i="9" a="1"/>
  <c r="S34" i="9" a="1"/>
  <c r="AS25" i="9" a="1"/>
  <c r="AT24" i="9" a="1"/>
  <c r="BI25" i="9" a="1"/>
  <c r="BV20" i="9" a="1"/>
  <c r="BG33" i="9" a="1"/>
  <c r="AC21" i="9" a="1"/>
  <c r="BI22" i="9" a="1"/>
  <c r="AK21" i="9" a="1"/>
  <c r="AG35" i="9" a="1"/>
  <c r="AI20" i="9" a="1"/>
  <c r="AN21" i="9" a="1"/>
  <c r="CN29" i="9" a="1"/>
  <c r="K172" i="22"/>
  <c r="AD30" i="9" a="1"/>
  <c r="H26" i="9" a="1"/>
  <c r="BW22" i="9" a="1"/>
  <c r="BI31" i="9" a="1"/>
  <c r="AG23" i="9" a="1"/>
  <c r="CF23" i="9" a="1"/>
  <c r="E30" i="9" a="1"/>
  <c r="BG29" i="9" a="1"/>
  <c r="CD22" i="9" a="1"/>
  <c r="CG23" i="9" a="1"/>
  <c r="CK25" i="9" a="1"/>
  <c r="BK23" i="9" a="1"/>
  <c r="BQ25" i="9" a="1"/>
  <c r="BG20" i="9" a="1"/>
  <c r="BN25" i="9" a="1"/>
  <c r="G21" i="9" a="1"/>
  <c r="CE22" i="9" a="1"/>
  <c r="CJ25" i="9" a="1"/>
  <c r="J20" i="9" a="1"/>
  <c r="Y30" i="9" a="1"/>
  <c r="BU30" i="9" a="1"/>
  <c r="K856" i="22"/>
  <c r="I34" i="9" a="1"/>
  <c r="CC23" i="9" a="1"/>
  <c r="I31" i="9" a="1"/>
  <c r="Y32" i="9" a="1"/>
  <c r="BN24" i="9" a="1"/>
  <c r="BX32" i="9" a="1"/>
  <c r="BH27" i="9" a="1"/>
  <c r="AX22" i="9" a="1"/>
  <c r="CO33" i="9" a="1"/>
  <c r="AN30" i="9" a="1"/>
  <c r="K20" i="15"/>
  <c r="BY25" i="9" a="1"/>
  <c r="AV20" i="9" a="1"/>
  <c r="I22" i="9" a="1"/>
  <c r="P33" i="9" a="1"/>
  <c r="BV28" i="9" a="1"/>
  <c r="O21" i="9" a="1"/>
  <c r="CE20" i="9" a="1"/>
  <c r="CB29" i="9" a="1"/>
  <c r="G33" i="9" a="1"/>
  <c r="CJ27" i="9" a="1"/>
  <c r="BQ34" i="9" a="1"/>
  <c r="AF23" i="9" a="1"/>
  <c r="BF31" i="9" a="1"/>
  <c r="BR24" i="9" a="1"/>
  <c r="CM32" i="9" a="1"/>
  <c r="BA29" i="9" a="1"/>
  <c r="BK35" i="9" a="1"/>
  <c r="BD29" i="9" a="1"/>
  <c r="G35" i="9" a="1"/>
  <c r="AV25" i="9" a="1"/>
  <c r="AL28" i="9" a="1"/>
  <c r="BN30" i="9" a="1"/>
  <c r="CK29" i="9" a="1"/>
  <c r="K96" i="14"/>
  <c r="CB22" i="9" a="1"/>
  <c r="AL33" i="9" a="1"/>
  <c r="K248" i="15"/>
  <c r="CR25" i="9" a="1"/>
  <c r="AP29" i="9" a="1"/>
  <c r="BY26" i="9" a="1"/>
  <c r="AC22" i="9" a="1"/>
  <c r="BU21" i="9" a="1"/>
  <c r="AQ30" i="9" a="1"/>
  <c r="O25" i="9" a="1"/>
  <c r="CQ26" i="9" a="1"/>
  <c r="BG21" i="9" a="1"/>
  <c r="F25" i="9" a="1"/>
  <c r="AY26" i="9" a="1"/>
  <c r="BS32" i="9" a="1"/>
  <c r="BI32" i="9" a="1"/>
  <c r="BZ28" i="9" a="1"/>
  <c r="K210" i="22"/>
  <c r="BO29" i="9" a="1"/>
  <c r="CE24" i="9" a="1"/>
  <c r="AV33" i="9" a="1"/>
  <c r="N23" i="9" a="1"/>
  <c r="CQ22" i="9" a="1"/>
  <c r="K476" i="14"/>
  <c r="Z22" i="9" a="1"/>
  <c r="BW33" i="9" a="1"/>
  <c r="AA28" i="9" a="1"/>
  <c r="CP26" i="9" a="1"/>
  <c r="BW35" i="9" a="1"/>
  <c r="X22" i="9" a="1"/>
  <c r="BP29" i="9" a="1"/>
  <c r="BB31" i="9" a="1"/>
  <c r="AF20" i="9" a="1"/>
  <c r="AJ27" i="9" a="1"/>
  <c r="BY27" i="9" a="1"/>
  <c r="CA30" i="9" a="1"/>
  <c r="CD35" i="9" a="1"/>
  <c r="BG26" i="9" a="1"/>
  <c r="K1046" i="22"/>
  <c r="AY30" i="9" a="1"/>
  <c r="BQ22" i="9" a="1"/>
  <c r="Y23" i="9" a="1"/>
  <c r="CO31" i="9" a="1"/>
  <c r="T31" i="9" a="1"/>
  <c r="BI23" i="9" a="1"/>
  <c r="AX33" i="9" a="1"/>
  <c r="BQ20" i="9" a="1"/>
  <c r="O22" i="9" a="1"/>
  <c r="AZ28" i="9" a="1"/>
  <c r="AW32" i="9" a="1"/>
  <c r="CB23" i="9" a="1"/>
  <c r="CJ23" i="9" a="1"/>
  <c r="O31" i="9" a="1"/>
  <c r="CA26" i="9" a="1"/>
  <c r="AN23" i="9" a="1"/>
  <c r="K286" i="22"/>
  <c r="AY21" i="9" a="1"/>
  <c r="AC20" i="9" a="1"/>
  <c r="BY21" i="9" a="1"/>
  <c r="BA25" i="9" a="1"/>
  <c r="BV27" i="9" a="1"/>
  <c r="V30" i="9" a="1"/>
  <c r="K1540" i="22"/>
  <c r="AT30" i="9" a="1"/>
  <c r="BL29" i="9" a="1"/>
  <c r="BB34" i="9" a="1"/>
  <c r="F20" i="9" a="1"/>
  <c r="Q21" i="9" a="1"/>
  <c r="AF22" i="9" a="1"/>
  <c r="K134" i="5"/>
  <c r="R22" i="9" a="1"/>
  <c r="O23" i="9" a="1"/>
  <c r="BB30" i="9" a="1"/>
  <c r="BN26" i="9" a="1"/>
  <c r="AI33" i="9" a="1"/>
  <c r="CJ31" i="9" a="1"/>
  <c r="AM26" i="9" a="1"/>
  <c r="BY28" i="9" a="1"/>
  <c r="BZ33" i="9" a="1"/>
  <c r="R26" i="9" a="1"/>
  <c r="J33" i="9" a="1"/>
  <c r="CP34" i="9" a="1"/>
  <c r="CP29" i="9" a="1"/>
  <c r="K1502" i="22"/>
  <c r="R30" i="9" a="1"/>
  <c r="CA25" i="9" a="1"/>
  <c r="BJ30" i="9" a="1"/>
  <c r="R25" i="9" a="1"/>
  <c r="BV35" i="9" a="1"/>
  <c r="CA29" i="9" a="1"/>
  <c r="AW34" i="9" a="1"/>
  <c r="AF31" i="9" a="1"/>
  <c r="K438" i="14"/>
  <c r="CC27" i="9" a="1"/>
  <c r="I35" i="9" a="1"/>
  <c r="BZ24" i="9" a="1"/>
  <c r="M23" i="9" a="1"/>
  <c r="BC27" i="9" a="1"/>
  <c r="BG35" i="9" a="1"/>
  <c r="AO34" i="9" a="1"/>
  <c r="AT29" i="9" a="1"/>
  <c r="AQ29" i="9" a="1"/>
  <c r="K1350" i="22"/>
  <c r="CD30" i="9" a="1"/>
  <c r="K1578" i="22"/>
  <c r="M25" i="9" a="1"/>
  <c r="AH20" i="9" a="1"/>
  <c r="I24" i="9" a="1"/>
  <c r="K21" i="9" a="1"/>
  <c r="CR24" i="9" a="1"/>
  <c r="AH25" i="9" a="1"/>
  <c r="K248" i="14"/>
  <c r="BA32" i="9" a="1"/>
  <c r="AA30" i="9" a="1"/>
  <c r="V26" i="9" a="1"/>
  <c r="BF35" i="9" a="1"/>
  <c r="K28" i="9" a="1"/>
  <c r="AF27" i="9" a="1"/>
  <c r="BF23" i="9" a="1"/>
  <c r="CI23" i="9" a="1"/>
  <c r="R28" i="9" a="1"/>
  <c r="AE26" i="9" a="1"/>
  <c r="Y33" i="9" a="1"/>
  <c r="H33" i="9" a="1"/>
  <c r="K1160" i="22"/>
  <c r="G22" i="9" a="1"/>
  <c r="K970" i="22"/>
  <c r="AM30" i="9" a="1"/>
  <c r="CN22" i="9" a="1"/>
  <c r="BT23" i="9" a="1"/>
  <c r="AF25" i="9" a="1"/>
  <c r="K58" i="15"/>
  <c r="J29" i="9" a="1"/>
  <c r="K286" i="14"/>
  <c r="BA23" i="9" a="1"/>
  <c r="CD31" i="9" a="1"/>
  <c r="T22" i="9" a="1"/>
  <c r="AW22" i="9" a="1"/>
  <c r="K96" i="5"/>
  <c r="AM33" i="9" a="1"/>
  <c r="AW26" i="9" a="1"/>
  <c r="Z21" i="9" a="1"/>
  <c r="AP34" i="9" a="1"/>
  <c r="K1654" i="22"/>
  <c r="CL20" i="9" a="1"/>
  <c r="CJ30" i="9" a="1"/>
  <c r="BV29" i="9" a="1"/>
  <c r="BW27" i="9" a="1"/>
  <c r="AT23" i="9" a="1"/>
  <c r="CC31" i="9" a="1"/>
  <c r="BD27" i="9" a="1"/>
  <c r="BW28" i="9" a="1"/>
  <c r="CC32" i="9" a="1"/>
  <c r="K704" i="14"/>
  <c r="AI21" i="9" a="1"/>
  <c r="AK24" i="9" a="1"/>
  <c r="BT26" i="9" a="1"/>
  <c r="AE21" i="9" a="1"/>
  <c r="AN20" i="9" a="1"/>
  <c r="K324" i="15"/>
  <c r="K30" i="9" a="1"/>
  <c r="AW21" i="9" a="1"/>
  <c r="F23" i="9" a="1"/>
  <c r="N28" i="9" a="1"/>
  <c r="K210" i="15"/>
  <c r="W20" i="9" a="1"/>
  <c r="N20" i="9" a="1"/>
  <c r="CC25" i="9" a="1"/>
  <c r="E29" i="9" a="1"/>
  <c r="K932" i="22"/>
  <c r="P30" i="9" a="1"/>
  <c r="R34" i="9" a="1"/>
  <c r="AD22" i="9" a="1"/>
  <c r="CC26" i="9" a="1"/>
  <c r="K134" i="22"/>
  <c r="BD34" i="9" a="1"/>
  <c r="E31" i="9" a="1"/>
  <c r="CJ20" i="9" a="1"/>
  <c r="BV21" i="9" a="1"/>
  <c r="U34" i="9" a="1"/>
  <c r="CA27" i="9" a="1"/>
  <c r="AR23" i="9" a="1"/>
  <c r="P20" i="9" a="1"/>
  <c r="F33" i="9" a="1"/>
  <c r="CN21" i="9" a="1"/>
  <c r="BJ22" i="9" a="1"/>
  <c r="CH24" i="9" a="1"/>
  <c r="Z27" i="9" a="1"/>
  <c r="G34" i="9" a="1"/>
  <c r="BF25" i="9" a="1"/>
  <c r="K26" i="9" a="1"/>
  <c r="CR30" i="9" a="1"/>
  <c r="L25" i="9" a="1"/>
  <c r="AR29" i="9" a="1"/>
  <c r="F30" i="9" a="1"/>
  <c r="CK22" i="9" a="1"/>
  <c r="BM33" i="9" a="1"/>
  <c r="BW26" i="9" a="1"/>
  <c r="AK30" i="9" a="1"/>
  <c r="K1008" i="22"/>
  <c r="AL35" i="9" a="1"/>
  <c r="K1122" i="22"/>
  <c r="K894" i="22"/>
  <c r="N32" i="9" a="1"/>
  <c r="AQ20" i="9" a="1"/>
  <c r="AE25" i="9" a="1"/>
  <c r="AT20" i="9" a="1"/>
  <c r="I25" i="9" a="1"/>
  <c r="R21" i="9" a="1"/>
  <c r="BC23" i="9" a="1"/>
  <c r="AZ33" i="9" a="1"/>
  <c r="CM26" i="9" a="1"/>
  <c r="AU24" i="9" a="1"/>
  <c r="AO22" i="9" a="1"/>
  <c r="K666" i="14"/>
  <c r="CH28" i="9" a="1"/>
  <c r="BT32" i="9" a="1"/>
  <c r="BJ27" i="9" a="1"/>
  <c r="BE34" i="9" a="1"/>
  <c r="AP25" i="9" a="1"/>
  <c r="E21" i="9" a="1"/>
  <c r="BG22" i="9" a="1"/>
  <c r="AF29" i="9" a="1"/>
  <c r="CF21" i="9" a="1"/>
  <c r="AB21" i="9" a="1"/>
  <c r="CK26" i="9" a="1"/>
  <c r="CG26" i="9" a="1"/>
  <c r="CK20" i="9" a="1"/>
  <c r="T35" i="9" a="1"/>
  <c r="H35" i="9" a="1"/>
  <c r="CR26" i="9" a="1"/>
  <c r="J26" i="9" a="1"/>
  <c r="BU25" i="9" a="1"/>
  <c r="CF33" i="9" a="1"/>
  <c r="CH26" i="9" a="1"/>
  <c r="BQ21" i="9" a="1"/>
  <c r="BM20" i="9" a="1"/>
  <c r="CB30" i="9" a="1"/>
  <c r="BT35" i="9" a="1"/>
  <c r="BE33" i="9" a="1"/>
  <c r="BF32" i="9" a="1"/>
  <c r="AV29" i="9" a="1"/>
  <c r="BI20" i="9" a="1"/>
  <c r="AO33" i="9" a="1"/>
  <c r="AH21" i="9" a="1"/>
  <c r="T24" i="9" a="1"/>
  <c r="BF34" i="9" a="1"/>
  <c r="E28" i="9" a="1"/>
  <c r="N22" i="9" a="1"/>
  <c r="CQ29" i="9" a="1"/>
  <c r="CD20" i="9" a="1"/>
  <c r="N30" i="9" a="1"/>
  <c r="CL33" i="9" a="1"/>
  <c r="AP31" i="9" a="1"/>
  <c r="BD23" i="9" a="1"/>
  <c r="Y31" i="9" a="1"/>
  <c r="L28" i="9" a="1"/>
  <c r="BO20" i="9" a="1"/>
  <c r="AG24" i="9" a="1"/>
  <c r="K1274" i="22"/>
  <c r="U20" i="9" a="1"/>
  <c r="Y34" i="9" a="1"/>
  <c r="CG30" i="9" a="1"/>
  <c r="BF24" i="9" a="1"/>
  <c r="E26" i="9" a="1"/>
  <c r="AI28" i="9" a="1"/>
  <c r="K324" i="22"/>
  <c r="CP24" i="9" a="1"/>
  <c r="BQ30" i="9" a="1"/>
  <c r="AY27" i="9" a="1"/>
  <c r="AR22" i="9" a="1"/>
  <c r="BH21" i="9" a="1"/>
  <c r="K172" i="15"/>
  <c r="CA23" i="9" a="1"/>
  <c r="AW29" i="9" a="1"/>
  <c r="BO21" i="9" a="1"/>
  <c r="CI22" i="9" a="1"/>
  <c r="CA33" i="9" a="1"/>
  <c r="AY33" i="9" a="1"/>
  <c r="Z28" i="9" a="1"/>
  <c r="S20" i="9" a="1"/>
  <c r="K96" i="13"/>
  <c r="AI29" i="9" a="1"/>
  <c r="BF26" i="9" a="1"/>
  <c r="X24" i="9" a="1"/>
  <c r="G28" i="9" a="1"/>
  <c r="S29" i="9" a="1"/>
  <c r="BJ34" i="9" a="1"/>
  <c r="CB26" i="9" a="1"/>
  <c r="Q22" i="9" a="1"/>
  <c r="AK20" i="9" a="1"/>
  <c r="AR33" i="9" a="1"/>
  <c r="BD35" i="9" a="1"/>
  <c r="BC26" i="9" a="1"/>
  <c r="BD21" i="9" a="1"/>
  <c r="AM21" i="9" a="1"/>
  <c r="K33" i="9" a="1"/>
  <c r="I20" i="9" a="1"/>
  <c r="F22" i="9" a="1"/>
  <c r="BB32" i="9" a="1"/>
  <c r="AJ31" i="9" a="1"/>
  <c r="AA22" i="9" a="1"/>
  <c r="AS33" i="9" a="1"/>
  <c r="K1616" i="22"/>
  <c r="AK27" i="9" a="1"/>
  <c r="BB29" i="9" a="1"/>
  <c r="CF29" i="9" a="1"/>
  <c r="AB32" i="9" a="1"/>
  <c r="K20" i="13"/>
  <c r="O33" i="9" a="1"/>
  <c r="BX21" i="9" a="1"/>
  <c r="AS27" i="9" a="1"/>
  <c r="CG27" i="9" a="1"/>
  <c r="BY35" i="9" a="1"/>
  <c r="BY20" i="9" a="1"/>
  <c r="S27" i="9" a="1"/>
  <c r="Q26" i="9" a="1"/>
  <c r="BX29" i="9" a="1"/>
  <c r="E20" i="9" a="1"/>
  <c r="K20" i="5"/>
  <c r="K286" i="15"/>
  <c r="CL26" i="9" a="1"/>
  <c r="BG25" i="9" a="1"/>
  <c r="BX22" i="9" a="1"/>
  <c r="CI24" i="9" a="1"/>
  <c r="Y29" i="9" a="1"/>
  <c r="CP35" i="9" a="1"/>
  <c r="O34" i="9" a="1"/>
  <c r="AN31" i="9" a="1"/>
  <c r="CB21" i="9" a="1"/>
  <c r="CA21" i="9" a="1"/>
  <c r="AT35" i="9" a="1"/>
  <c r="H31" i="9" a="1"/>
  <c r="BI26" i="9" a="1"/>
  <c r="BI26" i="9" l="1"/>
  <c r="H31" i="9"/>
  <c r="AT35" i="9"/>
  <c r="CA21" i="9"/>
  <c r="CB21" i="9"/>
  <c r="AN31" i="9"/>
  <c r="O34" i="9"/>
  <c r="CP35" i="9"/>
  <c r="Y29" i="9"/>
  <c r="CI24" i="9"/>
  <c r="BX22" i="9"/>
  <c r="BG25" i="9"/>
  <c r="CL26" i="9"/>
  <c r="K14" i="5"/>
  <c r="E20" i="9"/>
  <c r="BX29" i="9"/>
  <c r="Q26" i="9"/>
  <c r="S27" i="9"/>
  <c r="BY20" i="9"/>
  <c r="BY35" i="9"/>
  <c r="CG27" i="9"/>
  <c r="DC10" i="19" s="1"/>
  <c r="AS27" i="9"/>
  <c r="BX21" i="9"/>
  <c r="O33" i="9"/>
  <c r="AB32" i="9"/>
  <c r="CF29" i="9"/>
  <c r="BB29" i="9"/>
  <c r="AK27" i="9"/>
  <c r="AS33" i="9"/>
  <c r="AA22" i="9"/>
  <c r="AJ31" i="9"/>
  <c r="BB32" i="9"/>
  <c r="F22" i="9"/>
  <c r="I20" i="9"/>
  <c r="K33" i="9"/>
  <c r="AM21" i="9"/>
  <c r="BD21" i="9"/>
  <c r="BC26" i="9"/>
  <c r="BD35" i="9"/>
  <c r="AR33" i="9"/>
  <c r="AK20" i="9"/>
  <c r="Q22" i="9"/>
  <c r="CB26" i="9"/>
  <c r="BJ34" i="9"/>
  <c r="S29" i="9"/>
  <c r="G28" i="9"/>
  <c r="X24" i="9"/>
  <c r="BF26" i="9"/>
  <c r="AI29" i="9"/>
  <c r="S20" i="9"/>
  <c r="Z28" i="9"/>
  <c r="AY33" i="9"/>
  <c r="CA33" i="9"/>
  <c r="CI22" i="9"/>
  <c r="BO21" i="9"/>
  <c r="AW29" i="9"/>
  <c r="CA23" i="9"/>
  <c r="BH21" i="9"/>
  <c r="AR22" i="9"/>
  <c r="AY27" i="9"/>
  <c r="BQ30" i="9"/>
  <c r="CP24" i="9"/>
  <c r="AI28" i="9"/>
  <c r="E26" i="9"/>
  <c r="BF24" i="9"/>
  <c r="CG30" i="9"/>
  <c r="DC13" i="19" s="1"/>
  <c r="Y34" i="9"/>
  <c r="U20" i="9"/>
  <c r="AG24" i="9"/>
  <c r="BO20" i="9"/>
  <c r="L28" i="9"/>
  <c r="Y31" i="9"/>
  <c r="BD23" i="9"/>
  <c r="AP31" i="9"/>
  <c r="CL33" i="9"/>
  <c r="N30" i="9"/>
  <c r="CD20" i="9"/>
  <c r="CQ29" i="9"/>
  <c r="N22" i="9"/>
  <c r="E28" i="9"/>
  <c r="BF34" i="9"/>
  <c r="T24" i="9"/>
  <c r="AH21" i="9"/>
  <c r="AO33" i="9"/>
  <c r="BI20" i="9"/>
  <c r="AV29" i="9"/>
  <c r="BF32" i="9"/>
  <c r="BE33" i="9"/>
  <c r="BT35" i="9"/>
  <c r="CB30" i="9"/>
  <c r="BM20" i="9"/>
  <c r="BQ21" i="9"/>
  <c r="CH26" i="9"/>
  <c r="CF33" i="9"/>
  <c r="BU25" i="9"/>
  <c r="J26" i="9"/>
  <c r="CR26" i="9"/>
  <c r="H35" i="9"/>
  <c r="T35" i="9"/>
  <c r="CK20" i="9"/>
  <c r="CG26" i="9"/>
  <c r="DC9" i="19" s="1"/>
  <c r="CK26" i="9"/>
  <c r="AB21" i="9"/>
  <c r="CF21" i="9"/>
  <c r="AF29" i="9"/>
  <c r="BG22" i="9"/>
  <c r="E21" i="9"/>
  <c r="AP25" i="9"/>
  <c r="BE34" i="9"/>
  <c r="BJ27" i="9"/>
  <c r="BT32" i="9"/>
  <c r="CH28" i="9"/>
  <c r="AO22" i="9"/>
  <c r="AU24" i="9"/>
  <c r="CM26" i="9"/>
  <c r="AZ33" i="9"/>
  <c r="BC23" i="9"/>
  <c r="R21" i="9"/>
  <c r="I25" i="9"/>
  <c r="AT20" i="9"/>
  <c r="AE25" i="9"/>
  <c r="AQ20" i="9"/>
  <c r="N32" i="9"/>
  <c r="AL35" i="9"/>
  <c r="AK30" i="9"/>
  <c r="BW26" i="9"/>
  <c r="BM33" i="9"/>
  <c r="CK22" i="9"/>
  <c r="F30" i="9"/>
  <c r="AR29" i="9"/>
  <c r="L25" i="9"/>
  <c r="CR30" i="9"/>
  <c r="K26" i="9"/>
  <c r="BF25" i="9"/>
  <c r="G34" i="9"/>
  <c r="Z27" i="9"/>
  <c r="CH24" i="9"/>
  <c r="BJ22" i="9"/>
  <c r="CN21" i="9"/>
  <c r="F33" i="9"/>
  <c r="P20" i="9"/>
  <c r="AR23" i="9"/>
  <c r="CA27" i="9"/>
  <c r="U34" i="9"/>
  <c r="BV21" i="9"/>
  <c r="CJ20" i="9"/>
  <c r="E31" i="9"/>
  <c r="BD34" i="9"/>
  <c r="CC26" i="9"/>
  <c r="AD22" i="9"/>
  <c r="R34" i="9"/>
  <c r="P30" i="9"/>
  <c r="E29" i="9"/>
  <c r="CC25" i="9"/>
  <c r="N20" i="9"/>
  <c r="W20" i="9"/>
  <c r="N28" i="9"/>
  <c r="F23" i="9"/>
  <c r="AW21" i="9"/>
  <c r="K30" i="9"/>
  <c r="AN20" i="9"/>
  <c r="AE21" i="9"/>
  <c r="BT26" i="9"/>
  <c r="AK24" i="9"/>
  <c r="AI21" i="9"/>
  <c r="CC32" i="9"/>
  <c r="BW28" i="9"/>
  <c r="BD27" i="9"/>
  <c r="CC31" i="9"/>
  <c r="AT23" i="9"/>
  <c r="BW27" i="9"/>
  <c r="BV29" i="9"/>
  <c r="CJ30" i="9"/>
  <c r="CL20" i="9"/>
  <c r="AP34" i="9"/>
  <c r="Z21" i="9"/>
  <c r="AW26" i="9"/>
  <c r="AM33" i="9"/>
  <c r="AW22" i="9"/>
  <c r="T22" i="9"/>
  <c r="CD31" i="9"/>
  <c r="BA23" i="9"/>
  <c r="J29" i="9"/>
  <c r="AF25" i="9"/>
  <c r="BT23" i="9"/>
  <c r="CN22" i="9"/>
  <c r="AM30" i="9"/>
  <c r="G22" i="9"/>
  <c r="H33" i="9"/>
  <c r="Y33" i="9"/>
  <c r="AE26" i="9"/>
  <c r="R28" i="9"/>
  <c r="CI23" i="9"/>
  <c r="BF23" i="9"/>
  <c r="AF27" i="9"/>
  <c r="K28" i="9"/>
  <c r="BF35" i="9"/>
  <c r="V26" i="9"/>
  <c r="AA30" i="9"/>
  <c r="BA32" i="9"/>
  <c r="AH25" i="9"/>
  <c r="CR24" i="9"/>
  <c r="K21" i="9"/>
  <c r="I24" i="9"/>
  <c r="AH20" i="9"/>
  <c r="M25" i="9"/>
  <c r="CD30" i="9"/>
  <c r="AQ29" i="9"/>
  <c r="AT29" i="9"/>
  <c r="AO34" i="9"/>
  <c r="BG35" i="9"/>
  <c r="BC27" i="9"/>
  <c r="M23" i="9"/>
  <c r="BZ24" i="9"/>
  <c r="I35" i="9"/>
  <c r="CC27" i="9"/>
  <c r="AF31" i="9"/>
  <c r="AW34" i="9"/>
  <c r="CA29" i="9"/>
  <c r="BV35" i="9"/>
  <c r="R25" i="9"/>
  <c r="BJ30" i="9"/>
  <c r="CA25" i="9"/>
  <c r="R30" i="9"/>
  <c r="CP29" i="9"/>
  <c r="CP34" i="9"/>
  <c r="J33" i="9"/>
  <c r="R26" i="9"/>
  <c r="BZ33" i="9"/>
  <c r="BY28" i="9"/>
  <c r="AM26" i="9"/>
  <c r="CJ31" i="9"/>
  <c r="AI33" i="9"/>
  <c r="BN26" i="9"/>
  <c r="BB30" i="9"/>
  <c r="O23" i="9"/>
  <c r="R22" i="9"/>
  <c r="AF22" i="9"/>
  <c r="Q21" i="9"/>
  <c r="F20" i="9"/>
  <c r="BB34" i="9"/>
  <c r="BL29" i="9"/>
  <c r="AT30" i="9"/>
  <c r="V30" i="9"/>
  <c r="BV27" i="9"/>
  <c r="BA25" i="9"/>
  <c r="BY21" i="9"/>
  <c r="AC20" i="9"/>
  <c r="AY21" i="9"/>
  <c r="AN23" i="9"/>
  <c r="CA26" i="9"/>
  <c r="O31" i="9"/>
  <c r="CJ23" i="9"/>
  <c r="CB23" i="9"/>
  <c r="AW32" i="9"/>
  <c r="AZ28" i="9"/>
  <c r="O22" i="9"/>
  <c r="BQ20" i="9"/>
  <c r="AX33" i="9"/>
  <c r="BI23" i="9"/>
  <c r="T31" i="9"/>
  <c r="CO31" i="9"/>
  <c r="Y23" i="9"/>
  <c r="BQ22" i="9"/>
  <c r="AY30" i="9"/>
  <c r="BG26" i="9"/>
  <c r="CD35" i="9"/>
  <c r="CA30" i="9"/>
  <c r="BY27" i="9"/>
  <c r="AJ27" i="9"/>
  <c r="AF20" i="9"/>
  <c r="BB31" i="9"/>
  <c r="BP29" i="9"/>
  <c r="X22" i="9"/>
  <c r="BW35" i="9"/>
  <c r="CP26" i="9"/>
  <c r="AA28" i="9"/>
  <c r="BW33" i="9"/>
  <c r="Z22" i="9"/>
  <c r="CQ22" i="9"/>
  <c r="N23" i="9"/>
  <c r="AV33" i="9"/>
  <c r="CE24" i="9"/>
  <c r="BO29" i="9"/>
  <c r="BZ28" i="9"/>
  <c r="BI32" i="9"/>
  <c r="BS32" i="9"/>
  <c r="AY26" i="9"/>
  <c r="F25" i="9"/>
  <c r="BG21" i="9"/>
  <c r="CQ26" i="9"/>
  <c r="O25" i="9"/>
  <c r="AQ30" i="9"/>
  <c r="BU21" i="9"/>
  <c r="AC22" i="9"/>
  <c r="BY26" i="9"/>
  <c r="AP29" i="9"/>
  <c r="CR25" i="9"/>
  <c r="AL33" i="9"/>
  <c r="CB22" i="9"/>
  <c r="CK29" i="9"/>
  <c r="BN30" i="9"/>
  <c r="AL28" i="9"/>
  <c r="AV25" i="9"/>
  <c r="G35" i="9"/>
  <c r="BD29" i="9"/>
  <c r="BK35" i="9"/>
  <c r="BA29" i="9"/>
  <c r="CM32" i="9"/>
  <c r="BR24" i="9"/>
  <c r="BF31" i="9"/>
  <c r="AF23" i="9"/>
  <c r="BQ34" i="9"/>
  <c r="CJ27" i="9"/>
  <c r="G33" i="9"/>
  <c r="CB29" i="9"/>
  <c r="CE20" i="9"/>
  <c r="O21" i="9"/>
  <c r="BV28" i="9"/>
  <c r="P33" i="9"/>
  <c r="I22" i="9"/>
  <c r="AV20" i="9"/>
  <c r="BY25" i="9"/>
  <c r="K14" i="15"/>
  <c r="AN30" i="9"/>
  <c r="CO33" i="9"/>
  <c r="AX22" i="9"/>
  <c r="BH27" i="9"/>
  <c r="BX32" i="9"/>
  <c r="BN24" i="9"/>
  <c r="Y32" i="9"/>
  <c r="I31" i="9"/>
  <c r="CC23" i="9"/>
  <c r="I34" i="9"/>
  <c r="BU30" i="9"/>
  <c r="Y30" i="9"/>
  <c r="J20" i="9"/>
  <c r="CJ25" i="9"/>
  <c r="CE22" i="9"/>
  <c r="G21" i="9"/>
  <c r="BN25" i="9"/>
  <c r="BG20" i="9"/>
  <c r="BQ25" i="9"/>
  <c r="BK23" i="9"/>
  <c r="CK25" i="9"/>
  <c r="CG23" i="9"/>
  <c r="DC6" i="19" s="1"/>
  <c r="CD22" i="9"/>
  <c r="BG29" i="9"/>
  <c r="E30" i="9"/>
  <c r="CF23" i="9"/>
  <c r="AG23" i="9"/>
  <c r="BI31" i="9"/>
  <c r="BW22" i="9"/>
  <c r="H26" i="9"/>
  <c r="AD30" i="9"/>
  <c r="CN29" i="9"/>
  <c r="AN21" i="9"/>
  <c r="AI20" i="9"/>
  <c r="AG35" i="9"/>
  <c r="AK21" i="9"/>
  <c r="BI22" i="9"/>
  <c r="AC21" i="9"/>
  <c r="BG33" i="9"/>
  <c r="BV20" i="9"/>
  <c r="BI25" i="9"/>
  <c r="AT24" i="9"/>
  <c r="AS25" i="9"/>
  <c r="S34" i="9"/>
  <c r="CI25" i="9"/>
  <c r="CQ23" i="9"/>
  <c r="AQ32" i="9"/>
  <c r="AF32" i="9"/>
  <c r="U21" i="9"/>
  <c r="BM26" i="9"/>
  <c r="CR33" i="9"/>
  <c r="BG30" i="9"/>
  <c r="M35" i="9"/>
  <c r="AD29" i="9"/>
  <c r="S25" i="9"/>
  <c r="V22" i="9"/>
  <c r="BA31" i="9"/>
  <c r="AD25" i="9"/>
  <c r="CR32" i="9"/>
  <c r="J22" i="9"/>
  <c r="M34" i="9"/>
  <c r="L22" i="9"/>
  <c r="BE28" i="9"/>
  <c r="BQ23" i="9"/>
  <c r="BN28" i="9"/>
  <c r="BB22" i="9"/>
  <c r="AL30" i="9"/>
  <c r="CJ22" i="9"/>
  <c r="BN21" i="9"/>
  <c r="BQ29" i="9"/>
  <c r="AU33" i="9"/>
  <c r="BE31" i="9"/>
  <c r="U29" i="9"/>
  <c r="M21" i="9"/>
  <c r="BB33" i="9"/>
  <c r="BK27" i="9"/>
  <c r="AE29" i="9"/>
  <c r="V27" i="9"/>
  <c r="CQ25" i="9"/>
  <c r="AM20" i="9"/>
  <c r="Q31" i="9"/>
  <c r="CK28" i="9"/>
  <c r="J35" i="9"/>
  <c r="S22" i="9"/>
  <c r="BF30" i="9"/>
  <c r="AT33" i="9"/>
  <c r="AO25" i="9"/>
  <c r="AZ20" i="9"/>
  <c r="AG33" i="9"/>
  <c r="AQ26" i="9"/>
  <c r="AQ33" i="9"/>
  <c r="CQ21" i="9"/>
  <c r="J25" i="9"/>
  <c r="BI21" i="9"/>
  <c r="AA20" i="9"/>
  <c r="T33" i="9"/>
  <c r="J24" i="9"/>
  <c r="BN20" i="9"/>
  <c r="AF21" i="9"/>
  <c r="BK22" i="9"/>
  <c r="CQ24" i="9"/>
  <c r="AK35" i="9"/>
  <c r="N35" i="9"/>
  <c r="CC34" i="9"/>
  <c r="AT27" i="9"/>
  <c r="U25" i="9"/>
  <c r="AC35" i="9"/>
  <c r="I27" i="9"/>
  <c r="K14" i="22"/>
  <c r="BC20" i="9"/>
  <c r="CH30" i="9"/>
  <c r="CH27" i="9"/>
  <c r="K14" i="18"/>
  <c r="CN25" i="9"/>
  <c r="BQ28" i="9"/>
  <c r="BC34" i="9"/>
  <c r="BX27" i="9"/>
  <c r="BS33" i="9"/>
  <c r="AJ25" i="9"/>
  <c r="CH20" i="9"/>
  <c r="CR22" i="9"/>
  <c r="AW20" i="9"/>
  <c r="CE21" i="9"/>
  <c r="AG21" i="9"/>
  <c r="U30" i="9"/>
  <c r="AS31" i="9"/>
  <c r="AY32" i="9"/>
  <c r="BQ32" i="9"/>
  <c r="Q27" i="9"/>
  <c r="BP23" i="9"/>
  <c r="P28" i="9"/>
  <c r="CA20" i="9"/>
  <c r="AG20" i="9"/>
  <c r="BK33" i="9"/>
  <c r="BA26" i="9"/>
  <c r="BP28" i="9"/>
  <c r="AS21" i="9"/>
  <c r="BK28" i="9"/>
  <c r="CI30" i="9"/>
  <c r="BP21" i="9"/>
  <c r="AU21" i="9"/>
  <c r="AC24" i="9"/>
  <c r="BS21" i="9"/>
  <c r="CM35" i="9"/>
  <c r="CK33" i="9"/>
  <c r="H21" i="9"/>
  <c r="R33" i="9"/>
  <c r="CG24" i="9"/>
  <c r="DC7" i="19" s="1"/>
  <c r="BV26" i="9"/>
  <c r="BU32" i="9"/>
  <c r="U22" i="9"/>
  <c r="AS28" i="9"/>
  <c r="BE26" i="9"/>
  <c r="BC30" i="9"/>
  <c r="BF33" i="9"/>
  <c r="BU34" i="9"/>
  <c r="W30" i="9"/>
  <c r="BD31" i="9"/>
  <c r="Q29" i="9"/>
  <c r="BR26" i="9"/>
  <c r="CP21" i="9"/>
  <c r="BO35" i="9"/>
  <c r="BT29" i="9"/>
  <c r="BD30" i="9"/>
  <c r="AI35" i="9"/>
  <c r="AE33" i="9"/>
  <c r="BZ20" i="9"/>
  <c r="AA25" i="9"/>
  <c r="AP33" i="9"/>
  <c r="AA33" i="9"/>
  <c r="AF35" i="9"/>
  <c r="AC26" i="9"/>
  <c r="BC33" i="9"/>
  <c r="M26" i="9"/>
  <c r="BU29" i="9"/>
  <c r="T34" i="9"/>
  <c r="AJ30" i="9"/>
  <c r="BP33" i="9"/>
  <c r="CM30" i="9"/>
  <c r="AR21" i="9"/>
  <c r="BH30" i="9"/>
  <c r="CE27" i="9"/>
  <c r="CI27" i="9"/>
  <c r="CM27" i="9"/>
  <c r="BO30" i="9"/>
  <c r="CE23" i="9"/>
  <c r="G30" i="9"/>
  <c r="BU28" i="9"/>
  <c r="CE33" i="9"/>
  <c r="R32" i="9"/>
  <c r="AM34" i="9"/>
  <c r="AF33" i="9"/>
  <c r="BE20" i="9"/>
  <c r="AY34" i="9"/>
  <c r="W25" i="9"/>
  <c r="P29" i="9"/>
  <c r="CO30" i="9"/>
  <c r="BT20" i="9"/>
  <c r="CD21" i="9"/>
  <c r="CN32" i="9"/>
  <c r="X20" i="9"/>
  <c r="W33" i="9"/>
  <c r="BR35" i="9"/>
  <c r="E25" i="9"/>
  <c r="AB35" i="9"/>
  <c r="BZ30" i="9"/>
  <c r="BC21" i="9"/>
  <c r="O20" i="9"/>
  <c r="J30" i="9"/>
  <c r="CP20" i="9"/>
  <c r="V34" i="9"/>
  <c r="AZ30" i="9"/>
  <c r="BK30" i="9"/>
  <c r="H32" i="9"/>
  <c r="AT31" i="9"/>
  <c r="BL31" i="9"/>
  <c r="V24" i="9"/>
  <c r="K27" i="9"/>
  <c r="BP32" i="9"/>
  <c r="BN34" i="9"/>
  <c r="W31" i="9"/>
  <c r="Q20" i="9"/>
  <c r="BN29" i="9"/>
  <c r="AV32" i="9"/>
  <c r="CM25" i="9"/>
  <c r="BF22" i="9"/>
  <c r="CJ33" i="9"/>
  <c r="CO25" i="9"/>
  <c r="CM31" i="9"/>
  <c r="BH33" i="9"/>
  <c r="CF30" i="9"/>
  <c r="G25" i="9"/>
  <c r="CF24" i="9"/>
  <c r="CC24" i="9"/>
  <c r="AM31" i="9"/>
  <c r="BE22" i="9"/>
  <c r="BR32" i="9"/>
  <c r="AY24" i="9"/>
  <c r="O29" i="9"/>
  <c r="CC21" i="9"/>
  <c r="CH21" i="9"/>
  <c r="AL20" i="9"/>
  <c r="Z25" i="9"/>
  <c r="AE34" i="9"/>
  <c r="CD25" i="9"/>
  <c r="CH33" i="9"/>
  <c r="BH20" i="9"/>
  <c r="X33" i="9"/>
  <c r="BA35" i="9"/>
  <c r="V25" i="9"/>
  <c r="CB28" i="9"/>
  <c r="P21" i="9"/>
  <c r="BX33" i="9"/>
  <c r="AC32" i="9"/>
  <c r="CN31" i="9"/>
  <c r="AX27" i="9"/>
  <c r="AE28" i="9"/>
  <c r="CL34" i="9"/>
  <c r="AL21" i="9"/>
  <c r="BP30" i="9"/>
  <c r="CA34" i="9"/>
  <c r="L20" i="9"/>
  <c r="U26" i="9"/>
  <c r="CQ32" i="9"/>
  <c r="BM29" i="9"/>
  <c r="CM21" i="9"/>
  <c r="BZ34" i="9"/>
  <c r="AO32" i="9"/>
  <c r="CH29" i="9"/>
  <c r="CE29" i="9"/>
  <c r="BP25" i="9"/>
  <c r="BK20" i="9"/>
  <c r="CE35" i="9"/>
  <c r="BW29" i="9"/>
  <c r="CA24" i="9"/>
  <c r="N27" i="9"/>
  <c r="AJ35" i="9"/>
  <c r="E27" i="9"/>
  <c r="CJ32" i="9"/>
  <c r="BY32" i="9"/>
  <c r="AO24" i="9"/>
  <c r="BA34" i="9"/>
  <c r="CL21" i="9"/>
  <c r="CK27" i="9"/>
  <c r="BV33" i="9"/>
  <c r="Z20" i="9"/>
  <c r="BA21" i="9"/>
  <c r="CM23" i="9"/>
  <c r="O30" i="9"/>
  <c r="O32" i="9"/>
  <c r="BV25" i="9"/>
  <c r="S21" i="9"/>
  <c r="BD33" i="9"/>
  <c r="CO20" i="9"/>
  <c r="CP30" i="9"/>
  <c r="Q34" i="9"/>
  <c r="CF26" i="9"/>
  <c r="BM28" i="9"/>
  <c r="CN24" i="9"/>
  <c r="BK24" i="9"/>
  <c r="BX28" i="9"/>
  <c r="AU29" i="9"/>
  <c r="S30" i="9"/>
  <c r="BS20" i="9"/>
  <c r="S33" i="9"/>
  <c r="CD23" i="9"/>
  <c r="AI30" i="9"/>
  <c r="G24" i="9"/>
  <c r="AX26" i="9"/>
  <c r="AU23" i="9"/>
  <c r="T25" i="9"/>
  <c r="CI34" i="9"/>
  <c r="K20" i="9"/>
  <c r="AM29" i="9"/>
  <c r="AU20" i="9"/>
  <c r="R29" i="9"/>
  <c r="AN22" i="9"/>
  <c r="AQ25" i="9"/>
  <c r="CO24" i="9"/>
  <c r="AW35" i="9"/>
  <c r="BI27" i="9"/>
  <c r="BX35" i="9"/>
  <c r="AL31" i="9"/>
  <c r="CG33" i="9"/>
  <c r="DC16" i="19" s="1"/>
  <c r="M30" i="9"/>
  <c r="CG31" i="9"/>
  <c r="DC14" i="19" s="1"/>
  <c r="AS32" i="9"/>
  <c r="AS24" i="9"/>
  <c r="H20" i="9"/>
  <c r="I29" i="9"/>
  <c r="CI33" i="9"/>
  <c r="BB20" i="9"/>
  <c r="CC29" i="9"/>
  <c r="N29" i="9"/>
  <c r="BT25" i="9"/>
  <c r="BX20" i="9"/>
  <c r="BK26" i="9"/>
  <c r="Z26" i="9"/>
  <c r="U33" i="9"/>
  <c r="CA22" i="9"/>
  <c r="AI34" i="9"/>
  <c r="AE22" i="9"/>
  <c r="CB35" i="9"/>
  <c r="AA34" i="9"/>
  <c r="H22" i="9"/>
  <c r="BJ21" i="9"/>
  <c r="F32" i="9"/>
  <c r="BD26" i="9"/>
  <c r="BZ32" i="9"/>
  <c r="CO26" i="9"/>
  <c r="CM24" i="9"/>
  <c r="AM25" i="9"/>
  <c r="BP31" i="9"/>
  <c r="CF22" i="9"/>
  <c r="CD28" i="9"/>
  <c r="AL32" i="9"/>
  <c r="AL24" i="9"/>
  <c r="CD24" i="9"/>
  <c r="V21" i="9"/>
  <c r="BR31" i="9"/>
  <c r="CL29" i="9"/>
  <c r="AR31" i="9"/>
  <c r="AS23" i="9"/>
  <c r="CM34" i="9"/>
  <c r="CL30" i="9"/>
  <c r="L35" i="9"/>
  <c r="AU26" i="9"/>
  <c r="CC22" i="9"/>
  <c r="BY24" i="9"/>
  <c r="AQ34" i="9"/>
  <c r="AK25" i="9"/>
  <c r="AB20" i="9"/>
  <c r="BY33" i="9"/>
  <c r="AK32" i="9"/>
  <c r="BB26" i="9"/>
  <c r="AY31" i="9"/>
  <c r="AO21" i="9"/>
  <c r="BD22" i="9"/>
  <c r="AK26" i="9"/>
  <c r="CH23" i="9"/>
  <c r="CB32" i="9"/>
  <c r="AA27" i="9"/>
  <c r="CE32" i="9"/>
  <c r="BQ33" i="9"/>
  <c r="AM28" i="9"/>
  <c r="BR25" i="9"/>
  <c r="Z31" i="9"/>
  <c r="M24" i="9"/>
  <c r="AD26" i="9"/>
  <c r="AE23" i="9"/>
  <c r="BF27" i="9"/>
  <c r="AB31" i="9"/>
  <c r="N25" i="9"/>
  <c r="AZ21" i="9"/>
  <c r="BG24" i="9"/>
  <c r="AB27" i="9"/>
  <c r="AJ24" i="9"/>
  <c r="AZ35" i="9"/>
  <c r="CJ21" i="9"/>
  <c r="BK29" i="9"/>
  <c r="BZ21" i="9"/>
  <c r="U24" i="9"/>
  <c r="AI31" i="9"/>
  <c r="CD26" i="9"/>
  <c r="AJ33" i="9"/>
  <c r="AD21" i="9"/>
  <c r="BH34" i="9"/>
  <c r="CK34" i="9"/>
  <c r="BQ26" i="9"/>
  <c r="U35" i="9"/>
  <c r="AU31" i="9"/>
  <c r="BS23" i="9"/>
  <c r="CI21" i="9"/>
  <c r="CF20" i="9"/>
  <c r="AW25" i="9"/>
  <c r="CO34" i="9"/>
  <c r="BA20" i="9"/>
  <c r="AG29" i="9"/>
  <c r="W23" i="9"/>
  <c r="BF21" i="9"/>
  <c r="BU26" i="9"/>
  <c r="AS20" i="9"/>
  <c r="AI22" i="9"/>
  <c r="BD28" i="9"/>
  <c r="BD25" i="9"/>
  <c r="AH33" i="9"/>
  <c r="CN20" i="9"/>
  <c r="BW34" i="9"/>
  <c r="G20" i="9"/>
  <c r="BX30" i="9"/>
  <c r="CD29" i="9"/>
  <c r="BP27" i="9"/>
  <c r="CD33" i="9"/>
  <c r="AY28" i="9"/>
  <c r="I28" i="9"/>
  <c r="Q23" i="9"/>
  <c r="F27" i="9"/>
  <c r="BK32" i="9"/>
  <c r="AW30" i="9"/>
  <c r="BB25" i="9"/>
  <c r="CE31" i="9"/>
  <c r="BO24" i="9"/>
  <c r="AN29" i="9"/>
  <c r="CC28" i="9"/>
  <c r="AK22" i="9"/>
  <c r="BH26" i="9"/>
  <c r="AP23" i="9"/>
  <c r="AU25" i="9"/>
  <c r="J34" i="9"/>
  <c r="CP31" i="9"/>
  <c r="AL34" i="9"/>
  <c r="BS26" i="9"/>
  <c r="AS35" i="9"/>
  <c r="Y20" i="9"/>
  <c r="BH25" i="9"/>
  <c r="O26" i="9"/>
  <c r="BF20" i="9"/>
  <c r="P34" i="9"/>
  <c r="BO22" i="9"/>
  <c r="BP20" i="9"/>
  <c r="BR21" i="9"/>
  <c r="AG27" i="9"/>
  <c r="L29" i="9"/>
  <c r="AQ24" i="9"/>
  <c r="AP30" i="9"/>
  <c r="BJ35" i="9"/>
  <c r="BM22" i="9"/>
  <c r="AJ28" i="9"/>
  <c r="AX35" i="9"/>
  <c r="AN25" i="9"/>
  <c r="F31" i="9"/>
  <c r="AX30" i="9"/>
  <c r="R23" i="9"/>
  <c r="AW33" i="9"/>
  <c r="AQ28" i="9"/>
  <c r="AC30" i="9"/>
  <c r="CO22" i="9"/>
  <c r="X28" i="9"/>
  <c r="CE25" i="9"/>
  <c r="AX34" i="9"/>
  <c r="AQ31" i="9"/>
  <c r="AU34" i="9"/>
  <c r="AQ22" i="9"/>
  <c r="CA35" i="9"/>
  <c r="M29" i="9"/>
  <c r="BL25" i="9"/>
  <c r="Y22" i="9"/>
  <c r="CP33" i="9"/>
  <c r="AA24" i="9"/>
  <c r="L34" i="9"/>
  <c r="AS22" i="9"/>
  <c r="CP22" i="9"/>
  <c r="Z33" i="9"/>
  <c r="AD28" i="9"/>
  <c r="AI32" i="9"/>
  <c r="BM32" i="9"/>
  <c r="BE24" i="9"/>
  <c r="BZ31" i="9"/>
  <c r="H34" i="9"/>
  <c r="AH27" i="9"/>
  <c r="S24" i="9"/>
  <c r="AD33" i="9"/>
  <c r="H23" i="9"/>
  <c r="P26" i="9"/>
  <c r="CH34" i="9"/>
  <c r="H27" i="9"/>
  <c r="BW31" i="9"/>
  <c r="BV30" i="9"/>
  <c r="T21" i="9"/>
  <c r="BU35" i="9"/>
  <c r="BN35" i="9"/>
  <c r="CK23" i="9"/>
  <c r="AN33" i="9"/>
  <c r="AT22" i="9"/>
  <c r="CP28" i="9"/>
  <c r="AB34" i="9"/>
  <c r="N21" i="9"/>
  <c r="AG32" i="9"/>
  <c r="BW24" i="9"/>
  <c r="AE27" i="9"/>
  <c r="W34" i="9"/>
  <c r="M27" i="9"/>
  <c r="X34" i="9"/>
  <c r="X26" i="9"/>
  <c r="BV31" i="9"/>
  <c r="E32" i="9"/>
  <c r="U31" i="9"/>
  <c r="AQ27" i="9"/>
  <c r="CE26" i="9"/>
  <c r="AA31" i="9"/>
  <c r="J21" i="9"/>
  <c r="BN33" i="9"/>
  <c r="V35" i="9"/>
  <c r="BT22" i="9"/>
  <c r="AN34" i="9"/>
  <c r="AO28" i="9"/>
  <c r="AT34" i="9"/>
  <c r="AB29" i="9"/>
  <c r="CN30" i="9"/>
  <c r="AX25" i="9"/>
  <c r="AQ21" i="9"/>
  <c r="BG27" i="9"/>
  <c r="AZ25" i="9"/>
  <c r="CQ30" i="9"/>
  <c r="L21" i="9"/>
  <c r="BL20" i="9"/>
  <c r="AN24" i="9"/>
  <c r="Q24" i="9"/>
  <c r="W26" i="9"/>
  <c r="CI28" i="9"/>
  <c r="AA21" i="9"/>
  <c r="CH31" i="9"/>
  <c r="Z30" i="9"/>
  <c r="BC28" i="9"/>
  <c r="E24" i="9"/>
  <c r="AH22" i="9"/>
  <c r="AB28" i="9"/>
  <c r="BU20" i="9"/>
  <c r="BJ29" i="9"/>
  <c r="CQ20" i="9"/>
  <c r="AJ23" i="9"/>
  <c r="BT21" i="9"/>
  <c r="AO30" i="9"/>
  <c r="BC24" i="9"/>
  <c r="AX29" i="9"/>
  <c r="BK25" i="9"/>
  <c r="CP27" i="9"/>
  <c r="X25" i="9"/>
  <c r="F34" i="9"/>
  <c r="M31" i="9"/>
  <c r="G29" i="9"/>
  <c r="BT27" i="9"/>
  <c r="AT26" i="9"/>
  <c r="BH31" i="9"/>
  <c r="AA29" i="9"/>
  <c r="AJ34" i="9"/>
  <c r="CR20" i="9"/>
  <c r="X21" i="9"/>
  <c r="AN26" i="9"/>
  <c r="AU27" i="9"/>
  <c r="CL23" i="9"/>
  <c r="BV34" i="9"/>
  <c r="AI27" i="9"/>
  <c r="W32" i="9"/>
  <c r="AC33" i="9"/>
  <c r="BR28" i="9"/>
  <c r="BZ26" i="9"/>
  <c r="BE35" i="9"/>
  <c r="BN32" i="9"/>
  <c r="AL27" i="9"/>
  <c r="AH34" i="9"/>
  <c r="AJ26" i="9"/>
  <c r="AB24" i="9"/>
  <c r="CI20" i="9"/>
  <c r="BF29" i="9"/>
  <c r="Z29" i="9"/>
  <c r="M20" i="9"/>
  <c r="AB25" i="9"/>
  <c r="BL30" i="9"/>
  <c r="CC20" i="9"/>
  <c r="V33" i="9"/>
  <c r="AS29" i="9"/>
  <c r="BC32" i="9"/>
  <c r="BR33" i="9"/>
  <c r="BR20" i="9"/>
  <c r="BL34" i="9"/>
  <c r="P25" i="9"/>
  <c r="BN22" i="9"/>
  <c r="BY30" i="9"/>
  <c r="AX21" i="9"/>
  <c r="AV24" i="9"/>
  <c r="AI25" i="9"/>
  <c r="CR31" i="9"/>
  <c r="AP35" i="9"/>
  <c r="CE28" i="9"/>
  <c r="CL31" i="9"/>
  <c r="AM24" i="9"/>
  <c r="BZ23" i="9"/>
  <c r="E34" i="9"/>
  <c r="CG32" i="9"/>
  <c r="DC15" i="19" s="1"/>
  <c r="AJ32" i="9"/>
  <c r="BE27" i="9"/>
  <c r="P35" i="9"/>
  <c r="BW23" i="9"/>
  <c r="F29" i="9"/>
  <c r="BP35" i="9"/>
  <c r="BZ29" i="9"/>
  <c r="AP21" i="9"/>
  <c r="AR32" i="9"/>
  <c r="AK28" i="9"/>
  <c r="AV35" i="9"/>
  <c r="BA27" i="9"/>
  <c r="K25" i="9"/>
  <c r="CG35" i="9"/>
  <c r="DC18" i="19" s="1"/>
  <c r="CQ33" i="9"/>
  <c r="BW25" i="9"/>
  <c r="J23" i="9"/>
  <c r="J32" i="9"/>
  <c r="BB24" i="9"/>
  <c r="J31" i="9"/>
  <c r="T27" i="9"/>
  <c r="X23" i="9"/>
  <c r="BO32" i="9"/>
  <c r="CB25" i="9"/>
  <c r="AC28" i="9"/>
  <c r="E35" i="9"/>
  <c r="CH35" i="9"/>
  <c r="BL24" i="9"/>
  <c r="BC31" i="9"/>
  <c r="AZ26" i="9"/>
  <c r="I26" i="9"/>
  <c r="AR20" i="9"/>
  <c r="AG30" i="9"/>
  <c r="AJ29" i="9"/>
  <c r="AG22" i="9"/>
  <c r="BL28" i="9"/>
  <c r="AY20" i="9"/>
  <c r="BR34" i="9"/>
  <c r="AZ32" i="9"/>
  <c r="AP26" i="9"/>
  <c r="S26" i="9"/>
  <c r="CM20" i="9"/>
  <c r="BK34" i="9"/>
  <c r="AX31" i="9"/>
  <c r="BS22" i="9"/>
  <c r="V23" i="9"/>
  <c r="BS29" i="9"/>
  <c r="L26" i="9"/>
  <c r="T29" i="9"/>
  <c r="AX32" i="9"/>
  <c r="Y28" i="9"/>
  <c r="BH24" i="9"/>
  <c r="AP24" i="9"/>
  <c r="AH32" i="9"/>
  <c r="O24" i="9"/>
  <c r="CN34" i="9"/>
  <c r="BL23" i="9"/>
  <c r="CH22" i="9"/>
  <c r="O27" i="9"/>
  <c r="R24" i="9"/>
  <c r="BM34" i="9"/>
  <c r="V20" i="9"/>
  <c r="AY25" i="9"/>
  <c r="CK21" i="9"/>
  <c r="AD35" i="9"/>
  <c r="BU22" i="9"/>
  <c r="BY34" i="9"/>
  <c r="CP23" i="9"/>
  <c r="AC29" i="9"/>
  <c r="CM29" i="9"/>
  <c r="AP20" i="9"/>
  <c r="AH26" i="9"/>
  <c r="AK33" i="9"/>
  <c r="BP24" i="9"/>
  <c r="CB20" i="9"/>
  <c r="BO26" i="9"/>
  <c r="AH35" i="9"/>
  <c r="BB21" i="9"/>
  <c r="AR26" i="9"/>
  <c r="AF30" i="9"/>
  <c r="CI29" i="9"/>
  <c r="BE29" i="9"/>
  <c r="S32" i="9"/>
  <c r="BA30" i="9"/>
  <c r="I32" i="9"/>
  <c r="AV22" i="9"/>
  <c r="R31" i="9"/>
  <c r="CO32" i="9"/>
  <c r="BM27" i="9"/>
  <c r="AF26" i="9"/>
  <c r="AD32" i="9"/>
  <c r="K32" i="9"/>
  <c r="K24" i="9"/>
  <c r="BC25" i="9"/>
  <c r="BW30" i="9"/>
  <c r="BS25" i="9"/>
  <c r="BY22" i="9"/>
  <c r="K22" i="9"/>
  <c r="AK29" i="9"/>
  <c r="CQ31" i="9"/>
  <c r="BD20" i="9"/>
  <c r="AI26" i="9"/>
  <c r="CH25" i="9"/>
  <c r="W28" i="9"/>
  <c r="AA26" i="9"/>
  <c r="T30" i="9"/>
  <c r="BP34" i="9"/>
  <c r="BM31" i="9"/>
  <c r="BM25" i="9"/>
  <c r="T23" i="9"/>
  <c r="V28" i="9"/>
  <c r="N31" i="9"/>
  <c r="M22" i="9"/>
  <c r="AF28" i="9"/>
  <c r="BZ35" i="9"/>
  <c r="BZ27" i="9"/>
  <c r="AH31" i="9"/>
  <c r="AH23" i="9"/>
  <c r="Z35" i="9"/>
  <c r="L27" i="9"/>
  <c r="BE25" i="9"/>
  <c r="CO21" i="9"/>
  <c r="S23" i="9"/>
  <c r="AM23" i="9"/>
  <c r="BE23" i="9"/>
  <c r="BZ25" i="9"/>
  <c r="R27" i="9"/>
  <c r="AC34" i="9"/>
  <c r="F28" i="9"/>
  <c r="L24" i="9"/>
  <c r="CF31" i="9"/>
  <c r="U23" i="9"/>
  <c r="AJ20" i="9"/>
  <c r="CR29" i="9"/>
  <c r="BW32" i="9"/>
  <c r="AA35" i="9"/>
  <c r="V32" i="9"/>
  <c r="AN28" i="9"/>
  <c r="BI35" i="9"/>
  <c r="AP27" i="9"/>
  <c r="BM21" i="9"/>
  <c r="BI30" i="9"/>
  <c r="N24" i="9"/>
  <c r="AN35" i="9"/>
  <c r="U27" i="9"/>
  <c r="AT32" i="9"/>
  <c r="AT28" i="9"/>
  <c r="CM33" i="9"/>
  <c r="AM27" i="9"/>
  <c r="Y24" i="9"/>
  <c r="AR35" i="9"/>
  <c r="AR30" i="9"/>
  <c r="AD27" i="9"/>
  <c r="BJ23" i="9"/>
  <c r="AU30" i="9"/>
  <c r="CI26" i="9"/>
  <c r="BY23" i="9"/>
  <c r="CF32" i="9"/>
  <c r="CJ34" i="9"/>
  <c r="AP32" i="9"/>
  <c r="J28" i="9"/>
  <c r="BL33" i="9"/>
  <c r="AB26" i="9"/>
  <c r="W24" i="9"/>
  <c r="CL35" i="9"/>
  <c r="AX20" i="9"/>
  <c r="Q33" i="9"/>
  <c r="BS35" i="9"/>
  <c r="AV21" i="9"/>
  <c r="AU35" i="9"/>
  <c r="BQ35" i="9"/>
  <c r="AY23" i="9"/>
  <c r="AH29" i="9"/>
  <c r="AE24" i="9"/>
  <c r="CB27" i="9"/>
  <c r="BS34" i="9"/>
  <c r="CN23" i="9"/>
  <c r="AL22" i="9"/>
  <c r="CF28" i="9"/>
  <c r="AY29" i="9"/>
  <c r="CF35" i="9"/>
  <c r="AE20" i="9"/>
  <c r="BW21" i="9"/>
  <c r="BO33" i="9"/>
  <c r="BW20" i="9"/>
  <c r="CB33" i="9"/>
  <c r="AT25" i="9"/>
  <c r="BX31" i="9"/>
  <c r="AL29" i="9"/>
  <c r="Q25" i="9"/>
  <c r="BU31" i="9"/>
  <c r="BL22" i="9"/>
  <c r="CL32" i="9"/>
  <c r="BI28" i="9"/>
  <c r="CB24" i="9"/>
  <c r="CO29" i="9"/>
  <c r="AZ24" i="9"/>
  <c r="BL35" i="9"/>
  <c r="BS31" i="9"/>
  <c r="AV23" i="9"/>
  <c r="CG29" i="9"/>
  <c r="DC12" i="19" s="1"/>
  <c r="AE30" i="9"/>
  <c r="BC22" i="9"/>
  <c r="BV23" i="9"/>
  <c r="CI32" i="9"/>
  <c r="M33" i="9"/>
  <c r="AD31" i="9"/>
  <c r="BS28" i="9"/>
  <c r="BS24" i="9"/>
  <c r="BJ25" i="9"/>
  <c r="CG21" i="9"/>
  <c r="DC4" i="19" s="1"/>
  <c r="AV31" i="9"/>
  <c r="W27" i="9"/>
  <c r="BY29" i="9"/>
  <c r="F21" i="9"/>
  <c r="X32" i="9"/>
  <c r="I33" i="9"/>
  <c r="BE30" i="9"/>
  <c r="BU33" i="9"/>
  <c r="G26" i="9"/>
  <c r="AG34" i="9"/>
  <c r="AS26" i="9"/>
  <c r="AK23" i="9"/>
  <c r="L32" i="9"/>
  <c r="E22" i="9"/>
  <c r="AH30" i="9"/>
  <c r="BJ28" i="9"/>
  <c r="AD24" i="9"/>
  <c r="Q28" i="9"/>
  <c r="X27" i="9"/>
  <c r="BG23" i="9"/>
  <c r="CQ34" i="9"/>
  <c r="BG28" i="9"/>
  <c r="AI23" i="9"/>
  <c r="U32" i="9"/>
  <c r="AU22" i="9"/>
  <c r="CL22" i="9"/>
  <c r="AW28" i="9"/>
  <c r="CJ28" i="9"/>
  <c r="CJ29" i="9"/>
  <c r="AF24" i="9"/>
  <c r="AY35" i="9"/>
  <c r="BG31" i="9"/>
  <c r="Y21" i="9"/>
  <c r="BX34" i="9"/>
  <c r="BR27" i="9"/>
  <c r="BH29" i="9"/>
  <c r="BU24" i="9"/>
  <c r="CO35" i="9"/>
  <c r="G31" i="9"/>
  <c r="AD34" i="9"/>
  <c r="AC31" i="9"/>
  <c r="AC27" i="9"/>
  <c r="AC23" i="9"/>
  <c r="AG28" i="9"/>
  <c r="CA28" i="9"/>
  <c r="BA33" i="9"/>
  <c r="BT30" i="9"/>
  <c r="BO28" i="9"/>
  <c r="AI24" i="9"/>
  <c r="CP25" i="9"/>
  <c r="BR23" i="9"/>
  <c r="CI35" i="9"/>
  <c r="AZ27" i="9"/>
  <c r="AR34" i="9"/>
  <c r="CC30" i="9"/>
  <c r="AQ23" i="9"/>
  <c r="CG34" i="9"/>
  <c r="DC17" i="19" s="1"/>
  <c r="AO26" i="9"/>
  <c r="AZ22" i="9"/>
  <c r="CD32" i="9"/>
  <c r="AX28" i="9"/>
  <c r="CN35" i="9"/>
  <c r="L31" i="9"/>
  <c r="CR27" i="9"/>
  <c r="BK21" i="9"/>
  <c r="K31" i="9"/>
  <c r="G27" i="9"/>
  <c r="K23" i="9"/>
  <c r="CN28" i="9"/>
  <c r="L23" i="9"/>
  <c r="CK32" i="9"/>
  <c r="AM22" i="9"/>
  <c r="BO31" i="9"/>
  <c r="BA28" i="9"/>
  <c r="AW24" i="9"/>
  <c r="BV24" i="9"/>
  <c r="AE32" i="9"/>
  <c r="BJ31" i="9"/>
  <c r="AE35" i="9"/>
  <c r="AO20" i="9"/>
  <c r="E33" i="9"/>
  <c r="F24" i="9"/>
  <c r="CM22" i="9"/>
  <c r="BR29" i="9"/>
  <c r="BF28" i="9"/>
  <c r="S28" i="9"/>
  <c r="BB28" i="9"/>
  <c r="Z23" i="9"/>
  <c r="CL24" i="9"/>
  <c r="BI29" i="9"/>
  <c r="AQ35" i="9"/>
  <c r="CR21" i="9"/>
  <c r="BS27" i="9"/>
  <c r="AV26" i="9"/>
  <c r="BD32" i="9"/>
  <c r="L33" i="9"/>
  <c r="AL25" i="9"/>
  <c r="BS30" i="9"/>
  <c r="BV22" i="9"/>
  <c r="CD34" i="9"/>
  <c r="BL27" i="9"/>
  <c r="AJ22" i="9"/>
  <c r="N34" i="9"/>
  <c r="BU27" i="9"/>
  <c r="BM30" i="9"/>
  <c r="BB27" i="9"/>
  <c r="BB23" i="9"/>
  <c r="Y26" i="9"/>
  <c r="CF34" i="9"/>
  <c r="CA32" i="9"/>
  <c r="AU28" i="9"/>
  <c r="BE32" i="9"/>
  <c r="AG31" i="9"/>
  <c r="CN27" i="9"/>
  <c r="W21" i="9"/>
  <c r="BH28" i="9"/>
  <c r="BO27" i="9"/>
  <c r="G23" i="9"/>
  <c r="CN26" i="9"/>
  <c r="W22" i="9"/>
  <c r="CP32" i="9"/>
  <c r="U28" i="9"/>
  <c r="V29" i="9"/>
  <c r="BT28" i="9"/>
  <c r="Z24" i="9"/>
  <c r="CK35" i="9"/>
  <c r="BI33" i="9"/>
  <c r="K29" i="9"/>
  <c r="CO28" i="9"/>
  <c r="AD20" i="9"/>
  <c r="T26" i="9"/>
  <c r="BR22" i="9"/>
  <c r="BJ20" i="9"/>
  <c r="BP26" i="9"/>
  <c r="BP22" i="9"/>
  <c r="BE21" i="9"/>
  <c r="AM32" i="9"/>
  <c r="CF27" i="9"/>
  <c r="P23" i="9"/>
  <c r="I30" i="9"/>
  <c r="CR35" i="9"/>
  <c r="AN32" i="9"/>
  <c r="AR28" i="9"/>
  <c r="BM23" i="9"/>
  <c r="CC35" i="9"/>
  <c r="V31" i="9"/>
  <c r="AR25" i="9"/>
  <c r="CR34" i="9"/>
  <c r="AK31" i="9"/>
  <c r="BQ27" i="9"/>
  <c r="AB30" i="9"/>
  <c r="AW27" i="9"/>
  <c r="AW23" i="9"/>
  <c r="BJ26" i="9"/>
  <c r="BG34" i="9"/>
  <c r="BV32" i="9"/>
  <c r="AP28" i="9"/>
  <c r="H29" i="9"/>
  <c r="AG25" i="9"/>
  <c r="BX26" i="9"/>
  <c r="AZ34" i="9"/>
  <c r="AU32" i="9"/>
  <c r="O28" i="9"/>
  <c r="AO29" i="9"/>
  <c r="AG26" i="9"/>
  <c r="AM35" i="9"/>
  <c r="CQ35" i="9"/>
  <c r="AR24" i="9"/>
  <c r="BU23" i="9"/>
  <c r="Z32" i="9"/>
  <c r="CJ26" i="9"/>
  <c r="BH35" i="9"/>
  <c r="BH32" i="9"/>
  <c r="AV28" i="9"/>
  <c r="BT33" i="9"/>
  <c r="H28" i="9"/>
  <c r="BX24" i="9"/>
  <c r="X35" i="9"/>
  <c r="I21" i="9"/>
  <c r="AO35" i="9"/>
  <c r="AO31" i="9"/>
  <c r="AO27" i="9"/>
  <c r="CE30" i="9"/>
  <c r="P27" i="9"/>
  <c r="AB23" i="9"/>
  <c r="H30" i="9"/>
  <c r="CQ28" i="9"/>
  <c r="BJ24" i="9"/>
  <c r="CN33" i="9"/>
  <c r="N26" i="9"/>
  <c r="AX24" i="9"/>
  <c r="Y35" i="9"/>
  <c r="BX25" i="9"/>
  <c r="BO34" i="9"/>
  <c r="BQ31" i="9"/>
  <c r="J27" i="9"/>
  <c r="X30" i="9"/>
  <c r="BL26" i="9"/>
  <c r="AX23" i="9"/>
  <c r="BJ32" i="9"/>
  <c r="BO25" i="9"/>
  <c r="BJ33" i="9"/>
  <c r="H25" i="9"/>
  <c r="BL21" i="9"/>
  <c r="CJ24" i="9"/>
  <c r="BM35" i="9"/>
  <c r="CM28" i="9"/>
  <c r="F35" i="9"/>
  <c r="CO23" i="9"/>
  <c r="F26" i="9"/>
  <c r="M32" i="9"/>
  <c r="CK31" i="9"/>
  <c r="BT24" i="9"/>
  <c r="BH23" i="9"/>
  <c r="BK31" i="9"/>
  <c r="BZ22" i="9"/>
  <c r="AB33" i="9"/>
  <c r="Y27" i="9"/>
  <c r="AV30" i="9"/>
  <c r="AS34" i="9"/>
  <c r="CK30" i="9"/>
  <c r="BR30" i="9"/>
  <c r="CL25" i="9"/>
  <c r="P32" i="9"/>
  <c r="AE31" i="9"/>
  <c r="AV27" i="9"/>
  <c r="AK34" i="9"/>
  <c r="BM24" i="9"/>
  <c r="AO23" i="9"/>
  <c r="CH32" i="9"/>
  <c r="CD27" i="9"/>
  <c r="W35" i="9"/>
  <c r="BT31" i="9"/>
  <c r="AC25" i="9"/>
  <c r="AL23" i="9"/>
  <c r="BB35" i="9"/>
  <c r="CI31" i="9"/>
  <c r="AV34" i="9"/>
  <c r="BN31" i="9"/>
  <c r="BN27" i="9"/>
  <c r="BN23" i="9"/>
  <c r="AB22" i="9"/>
  <c r="CG22" i="9"/>
  <c r="DC5" i="19" s="1"/>
  <c r="BG32" i="9"/>
  <c r="R20" i="9"/>
  <c r="AL26" i="9"/>
  <c r="Y25" i="9"/>
  <c r="P24" i="9"/>
  <c r="CF25" i="9"/>
  <c r="AF34" i="9"/>
  <c r="AA23" i="9"/>
  <c r="AT21" i="9"/>
  <c r="BT34" i="9"/>
  <c r="E23" i="9"/>
  <c r="X29" i="9"/>
  <c r="CR23" i="9"/>
  <c r="Q35" i="9"/>
  <c r="AW31" i="9"/>
  <c r="Z34" i="9"/>
  <c r="L30" i="9"/>
  <c r="CL27" i="9"/>
  <c r="AD23" i="9"/>
  <c r="CL28" i="9"/>
  <c r="BD24" i="9"/>
  <c r="K35" i="9"/>
  <c r="W29" i="9"/>
  <c r="CR28" i="9"/>
  <c r="BC35" i="9"/>
  <c r="P31" i="9"/>
  <c r="BA22" i="9"/>
  <c r="S31" i="9"/>
  <c r="AR27" i="9"/>
  <c r="CE34" i="9"/>
  <c r="BA24" i="9"/>
  <c r="BX23" i="9"/>
  <c r="BL32" i="9"/>
  <c r="T20" i="9"/>
  <c r="CC33" i="9"/>
  <c r="G32" i="9"/>
  <c r="CB34" i="9"/>
  <c r="CK24" i="9"/>
  <c r="I23" i="9"/>
  <c r="T32" i="9"/>
  <c r="BH22" i="9"/>
  <c r="CA31" i="9"/>
  <c r="AH28" i="9"/>
  <c r="AH24" i="9"/>
  <c r="BI34" i="9"/>
  <c r="CO27" i="9"/>
  <c r="BO23" i="9"/>
  <c r="K34" i="9"/>
  <c r="Q30" i="9"/>
  <c r="CQ27" i="9"/>
  <c r="CG25" i="9"/>
  <c r="DC8" i="19" s="1"/>
  <c r="AP22" i="9"/>
  <c r="CG28" i="9"/>
  <c r="DC11" i="19" s="1"/>
  <c r="AA32" i="9"/>
  <c r="N33" i="9"/>
  <c r="AS30" i="9"/>
  <c r="BQ24" i="9"/>
  <c r="CJ35" i="9"/>
  <c r="AZ29" i="9"/>
  <c r="P22" i="9"/>
  <c r="R35" i="9"/>
  <c r="BY31" i="9"/>
  <c r="S35" i="9"/>
  <c r="Q32" i="9"/>
  <c r="M28" i="9"/>
  <c r="AY22" i="9"/>
  <c r="X31" i="9"/>
  <c r="T28" i="9"/>
  <c r="H24" i="9"/>
  <c r="BC29" i="9"/>
  <c r="BI24" i="9"/>
  <c r="O35" i="9"/>
  <c r="CB31" i="9"/>
  <c r="AJ21" i="9"/>
  <c r="AZ31" i="9"/>
  <c r="AN27" i="9"/>
  <c r="AZ23"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10" i="9"/>
  <c r="L8" i="9"/>
  <c r="L9" i="9"/>
  <c r="P8" i="9"/>
  <c r="P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G362" i="14"/>
  <c r="I210" i="14"/>
  <c r="I1692" i="21"/>
  <c r="CF55" i="9"/>
  <c r="I362" i="14"/>
  <c r="J172" i="15"/>
  <c r="CL55" i="9"/>
  <c r="J704" i="14"/>
  <c r="BD55" i="9"/>
  <c r="G172" i="14"/>
  <c r="H172" i="14"/>
  <c r="BB55" i="9"/>
  <c r="J666" i="14"/>
  <c r="G134" i="15"/>
  <c r="AB55" i="9"/>
  <c r="AG55" i="9"/>
  <c r="G1692" i="21"/>
  <c r="CJ55" i="9"/>
  <c r="J134" i="14"/>
  <c r="AX55" i="9"/>
  <c r="BC55" i="9"/>
  <c r="F134" i="15"/>
  <c r="O55" i="9"/>
  <c r="CO55" i="9"/>
  <c r="I628" i="14"/>
  <c r="G628" i="14"/>
  <c r="BX55" i="9"/>
  <c r="H362" i="14"/>
  <c r="AE55" i="9"/>
  <c r="BT55" i="9"/>
  <c r="BQ55" i="9"/>
  <c r="G286" i="14"/>
  <c r="M55" i="9"/>
  <c r="F96" i="14"/>
  <c r="I514" i="14"/>
  <c r="F210" i="14"/>
  <c r="CN55" i="9"/>
  <c r="F1882" i="22"/>
  <c r="G134" i="14"/>
  <c r="BL55" i="9"/>
  <c r="CQ55" i="9"/>
  <c r="BN55" i="9"/>
  <c r="I324" i="14"/>
  <c r="BJ55" i="9"/>
  <c r="J172" i="14"/>
  <c r="CH55" i="9"/>
  <c r="CI55" i="9"/>
  <c r="W55" i="9"/>
  <c r="I248" i="14"/>
  <c r="AC55" i="9"/>
  <c r="H210" i="14"/>
  <c r="G172" i="15"/>
  <c r="BO55" i="9"/>
  <c r="BV55" i="9"/>
  <c r="BF55" i="9"/>
  <c r="F362" i="14"/>
  <c r="F172" i="14"/>
  <c r="AM55" i="9"/>
  <c r="F514" i="14"/>
  <c r="I172" i="15"/>
  <c r="AV55" i="9"/>
  <c r="BS55" i="9"/>
  <c r="G210" i="14"/>
  <c r="AN55" i="9"/>
  <c r="H324" i="14"/>
  <c r="AF55" i="9"/>
  <c r="L55" i="9"/>
  <c r="BG55" i="9"/>
  <c r="G1882" i="22"/>
  <c r="AS55" i="9"/>
  <c r="H286" i="14"/>
  <c r="H1692" i="21"/>
  <c r="X55" i="9"/>
  <c r="AD55" i="9"/>
  <c r="T55" i="9"/>
  <c r="J96" i="14"/>
  <c r="G704" i="14"/>
  <c r="BZ55" i="9"/>
  <c r="CA55" i="9"/>
  <c r="J514" i="14"/>
  <c r="H134" i="15"/>
  <c r="BU55" i="9"/>
  <c r="AT55" i="9"/>
  <c r="AQ55" i="9"/>
  <c r="H172" i="15"/>
  <c r="Q55" i="9"/>
  <c r="J134" i="15"/>
  <c r="N55" i="9"/>
  <c r="BE55" i="9"/>
  <c r="G400" i="14"/>
  <c r="BH55" i="9"/>
  <c r="J628" i="14"/>
  <c r="I134" i="15"/>
  <c r="J286" i="14"/>
  <c r="F55" i="9"/>
  <c r="G666" i="14"/>
  <c r="I704" i="14"/>
  <c r="H1882" i="22"/>
  <c r="AL55" i="9"/>
  <c r="F400" i="14"/>
  <c r="F1692" i="21"/>
  <c r="I666" i="14"/>
  <c r="BI55" i="9"/>
  <c r="CR55" i="9"/>
  <c r="I172" i="14"/>
  <c r="BR55" i="9"/>
  <c r="AO55" i="9"/>
  <c r="H628" i="14"/>
  <c r="U55" i="9"/>
  <c r="J248" i="14"/>
  <c r="CC55" i="9"/>
  <c r="H400" i="14"/>
  <c r="CE55" i="9"/>
  <c r="H704" i="14"/>
  <c r="H514" i="14"/>
  <c r="AW55" i="9"/>
  <c r="H96" i="14"/>
  <c r="R55" i="9"/>
  <c r="Y55" i="9"/>
  <c r="AR55" i="9"/>
  <c r="V55" i="9"/>
  <c r="J324" i="14"/>
  <c r="AZ55" i="9"/>
  <c r="J210" i="14"/>
  <c r="K55" i="9"/>
  <c r="J362" i="14"/>
  <c r="BW55" i="9"/>
  <c r="P55" i="9"/>
  <c r="J55" i="9"/>
  <c r="J1692" i="21"/>
  <c r="AJ55" i="9"/>
  <c r="I96" i="14"/>
  <c r="AI55" i="9"/>
  <c r="H55" i="9"/>
  <c r="F172" i="15"/>
  <c r="F666" i="14"/>
  <c r="AK55" i="9"/>
  <c r="S55" i="9"/>
  <c r="Z55" i="9"/>
  <c r="CK55" i="9"/>
  <c r="F324" i="14"/>
  <c r="BP55" i="9"/>
  <c r="H666" i="14"/>
  <c r="F628" i="14"/>
  <c r="AU55" i="9"/>
  <c r="G248" i="14"/>
  <c r="G55" i="9"/>
  <c r="G514" i="14"/>
  <c r="BY55" i="9"/>
  <c r="I1882" i="22"/>
  <c r="I134" i="14"/>
  <c r="F704" i="14"/>
  <c r="CD55" i="9"/>
  <c r="AP55" i="9"/>
  <c r="I286" i="14"/>
  <c r="BK55" i="9"/>
  <c r="F248" i="14"/>
  <c r="BM55" i="9"/>
  <c r="CM55" i="9"/>
  <c r="H248" i="14"/>
  <c r="BA55" i="9"/>
  <c r="CB55" i="9"/>
  <c r="F134" i="14"/>
  <c r="AH55" i="9"/>
  <c r="H134" i="14"/>
  <c r="E55" i="9"/>
  <c r="AY55" i="9"/>
  <c r="CG55" i="9"/>
  <c r="G96" i="14"/>
  <c r="AA55" i="9"/>
  <c r="G324" i="14"/>
  <c r="I400" i="14"/>
  <c r="J1882" i="22"/>
  <c r="CP55" i="9"/>
  <c r="J400" i="14"/>
  <c r="F286" i="14"/>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G1426" i="22"/>
  <c r="G1122" i="22"/>
  <c r="F1122" i="22"/>
  <c r="G970" i="21"/>
  <c r="H1008" i="22"/>
  <c r="J1616" i="21"/>
  <c r="I1844" i="22"/>
  <c r="H1616" i="21"/>
  <c r="J1008" i="22"/>
  <c r="H1578" i="22"/>
  <c r="F1426" i="22"/>
  <c r="G1616" i="21"/>
  <c r="G970" i="22"/>
  <c r="F1540" i="22"/>
  <c r="H1844" i="22"/>
  <c r="I1578" i="22"/>
  <c r="F1844" i="22"/>
  <c r="I1008" i="22"/>
  <c r="J970" i="21"/>
  <c r="J1122" i="22"/>
  <c r="I1350" i="21"/>
  <c r="F1350" i="21"/>
  <c r="F1616" i="21"/>
  <c r="H1122" i="22"/>
  <c r="H1654" i="21"/>
  <c r="I970" i="21"/>
  <c r="G1654" i="21"/>
  <c r="I1654" i="21"/>
  <c r="H1540" i="22"/>
  <c r="F970" i="22"/>
  <c r="I1122" i="22"/>
  <c r="F970" i="21"/>
  <c r="I1540" i="22"/>
  <c r="J1426" i="22"/>
  <c r="J1350" i="21"/>
  <c r="F1654" i="21"/>
  <c r="J970" i="22"/>
  <c r="G1008" i="22"/>
  <c r="G1844" i="22"/>
  <c r="I1426" i="22"/>
  <c r="F1008" i="22"/>
  <c r="H1426" i="22"/>
  <c r="I970" i="22"/>
  <c r="G1578" i="22"/>
  <c r="J1654" i="21"/>
  <c r="J1578" i="22"/>
  <c r="H970" i="21"/>
  <c r="G1540" i="22"/>
  <c r="H970" i="22"/>
  <c r="F1578" i="22"/>
  <c r="J1844" i="22"/>
  <c r="J1540" i="22"/>
  <c r="G1350" i="21"/>
  <c r="I1616" i="21"/>
  <c r="H1350"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324" i="21"/>
  <c r="H58" i="22"/>
  <c r="I666" i="22"/>
  <c r="J172" i="21"/>
  <c r="F400" i="21"/>
  <c r="G894" i="22"/>
  <c r="I96" i="18"/>
  <c r="J1274" i="21"/>
  <c r="I20" i="5"/>
  <c r="I438" i="22"/>
  <c r="G96" i="21"/>
  <c r="H1084" i="22"/>
  <c r="G1502" i="22"/>
  <c r="H1502" i="22"/>
  <c r="J362" i="21"/>
  <c r="G1046" i="21"/>
  <c r="I1046" i="21"/>
  <c r="F20" i="5"/>
  <c r="F1312" i="22"/>
  <c r="H20" i="22"/>
  <c r="G628" i="22"/>
  <c r="J1198" i="21"/>
  <c r="I1388" i="22"/>
  <c r="I20" i="13"/>
  <c r="G58" i="21"/>
  <c r="G514" i="21"/>
  <c r="G666" i="22"/>
  <c r="G210" i="21"/>
  <c r="J856" i="21"/>
  <c r="J1046" i="21"/>
  <c r="I438" i="14"/>
  <c r="H286" i="22"/>
  <c r="J514" i="21"/>
  <c r="H1388" i="22"/>
  <c r="F96" i="21"/>
  <c r="G1236" i="21"/>
  <c r="I96" i="5"/>
  <c r="F210" i="5"/>
  <c r="J400" i="22"/>
  <c r="F894" i="21"/>
  <c r="I438" i="21"/>
  <c r="I20" i="15"/>
  <c r="H362" i="22"/>
  <c r="H514" i="22"/>
  <c r="I590" i="22"/>
  <c r="I856" i="22"/>
  <c r="G818" i="21"/>
  <c r="F476" i="21"/>
  <c r="H552" i="14"/>
  <c r="F172" i="21"/>
  <c r="H1654" i="22"/>
  <c r="G58" i="5"/>
  <c r="J1084" i="22"/>
  <c r="J1236" i="22"/>
  <c r="F362" i="22"/>
  <c r="J1540" i="21"/>
  <c r="I248" i="21"/>
  <c r="H58" i="15"/>
  <c r="F210" i="15"/>
  <c r="I1350" i="22"/>
  <c r="G1160" i="21"/>
  <c r="H1008" i="21"/>
  <c r="G856" i="21"/>
  <c r="J248" i="15"/>
  <c r="H1274" i="22"/>
  <c r="G286" i="22"/>
  <c r="F780" i="22"/>
  <c r="I286" i="21"/>
  <c r="G1464" i="22"/>
  <c r="I1046" i="22"/>
  <c r="J96" i="13"/>
  <c r="H20" i="13"/>
  <c r="G476" i="21"/>
  <c r="G58" i="14"/>
  <c r="G476" i="22"/>
  <c r="H134" i="18"/>
  <c r="G1388" i="22"/>
  <c r="F590" i="14"/>
  <c r="H1084" i="21"/>
  <c r="I1502" i="22"/>
  <c r="J286" i="22"/>
  <c r="I362" i="21"/>
  <c r="G552" i="21"/>
  <c r="I856" i="21"/>
  <c r="J1806" i="22"/>
  <c r="I1198" i="21"/>
  <c r="F58" i="5"/>
  <c r="F58" i="13"/>
  <c r="F628" i="22"/>
  <c r="J1312" i="21"/>
  <c r="I818" i="21"/>
  <c r="F1198" i="21"/>
  <c r="J134" i="18"/>
  <c r="F1084" i="22"/>
  <c r="J20" i="14"/>
  <c r="F20" i="13"/>
  <c r="I704" i="22"/>
  <c r="J20" i="18"/>
  <c r="H856" i="22"/>
  <c r="H894" i="21"/>
  <c r="I134" i="21"/>
  <c r="G1160" i="22"/>
  <c r="F248" i="15"/>
  <c r="H552" i="22"/>
  <c r="I324" i="15"/>
  <c r="J324" i="21"/>
  <c r="J134" i="22"/>
  <c r="G1616" i="22"/>
  <c r="H400" i="21"/>
  <c r="J58" i="14"/>
  <c r="F1768" i="22"/>
  <c r="I704" i="21"/>
  <c r="I324" i="22"/>
  <c r="I666" i="21"/>
  <c r="H742" i="22"/>
  <c r="F400" i="22"/>
  <c r="J96" i="15"/>
  <c r="F1046" i="21"/>
  <c r="F1274" i="21"/>
  <c r="J1388" i="21"/>
  <c r="J400" i="21"/>
  <c r="H20" i="15"/>
  <c r="F742" i="22"/>
  <c r="G1730" i="22"/>
  <c r="F1388" i="22"/>
  <c r="H172" i="22"/>
  <c r="H590" i="21"/>
  <c r="I1236" i="22"/>
  <c r="G210" i="5"/>
  <c r="G590" i="22"/>
  <c r="I58" i="13"/>
  <c r="I894" i="22"/>
  <c r="F1160" i="22"/>
  <c r="J324" i="22"/>
  <c r="H476" i="14"/>
  <c r="G210" i="22"/>
  <c r="J932" i="21"/>
  <c r="I58" i="14"/>
  <c r="G96" i="15"/>
  <c r="G58" i="13"/>
  <c r="J134" i="5"/>
  <c r="G58" i="22"/>
  <c r="G1198" i="22"/>
  <c r="F172" i="18"/>
  <c r="J590" i="14"/>
  <c r="H1464" i="22"/>
  <c r="I552" i="22"/>
  <c r="J20" i="22"/>
  <c r="H780" i="21"/>
  <c r="I1122" i="21"/>
  <c r="H210" i="21"/>
  <c r="I1274" i="22"/>
  <c r="F1502" i="22"/>
  <c r="J172" i="22"/>
  <c r="I742" i="21"/>
  <c r="H438" i="14"/>
  <c r="G1654" i="22"/>
  <c r="I1198" i="22"/>
  <c r="H20" i="18"/>
  <c r="I1236" i="21"/>
  <c r="H324" i="22"/>
  <c r="G932" i="22"/>
  <c r="H96" i="22"/>
  <c r="J20" i="21"/>
  <c r="H590" i="22"/>
  <c r="H932" i="21"/>
  <c r="F438" i="14"/>
  <c r="F96" i="15"/>
  <c r="H210" i="22"/>
  <c r="I1502" i="21"/>
  <c r="I172" i="18"/>
  <c r="H1388" i="21"/>
  <c r="H780" i="22"/>
  <c r="G438" i="22"/>
  <c r="F1236" i="21"/>
  <c r="H286" i="15"/>
  <c r="I96" i="15"/>
  <c r="J780" i="22"/>
  <c r="G20" i="18"/>
  <c r="G1388" i="21"/>
  <c r="G248" i="22"/>
  <c r="G248" i="15"/>
  <c r="J1502" i="22"/>
  <c r="F286" i="15"/>
  <c r="G1768" i="22"/>
  <c r="I20" i="22"/>
  <c r="G1274" i="21"/>
  <c r="F438" i="21"/>
  <c r="I1312" i="21"/>
  <c r="I514" i="22"/>
  <c r="F666" i="21"/>
  <c r="G20" i="22"/>
  <c r="J476" i="21"/>
  <c r="I628" i="22"/>
  <c r="J58" i="13"/>
  <c r="I324" i="21"/>
  <c r="G780" i="21"/>
  <c r="F514" i="22"/>
  <c r="G1046" i="22"/>
  <c r="I172" i="22"/>
  <c r="F58" i="14"/>
  <c r="G362" i="22"/>
  <c r="H134" i="5"/>
  <c r="I1616" i="22"/>
  <c r="J552" i="22"/>
  <c r="J894" i="21"/>
  <c r="J362" i="22"/>
  <c r="H628" i="22"/>
  <c r="F58" i="15"/>
  <c r="J96" i="21"/>
  <c r="F818" i="21"/>
  <c r="J96" i="22"/>
  <c r="J818" i="21"/>
  <c r="I1730" i="22"/>
  <c r="I20" i="14"/>
  <c r="H514" i="21"/>
  <c r="G476" i="14"/>
  <c r="F1730" i="22"/>
  <c r="H1692" i="22"/>
  <c r="I96" i="22"/>
  <c r="J514" i="22"/>
  <c r="F894" i="22"/>
  <c r="J476" i="22"/>
  <c r="H58" i="5"/>
  <c r="G932" i="21"/>
  <c r="F1540" i="21"/>
  <c r="J286" i="15"/>
  <c r="H134" i="22"/>
  <c r="I20" i="18"/>
  <c r="J742" i="21"/>
  <c r="G96" i="5"/>
  <c r="F1578" i="21"/>
  <c r="G172" i="5"/>
  <c r="J134" i="21"/>
  <c r="I58" i="18"/>
  <c r="G1806" i="22"/>
  <c r="F552" i="21"/>
  <c r="G324" i="22"/>
  <c r="G628" i="21"/>
  <c r="I514" i="21"/>
  <c r="H58" i="18"/>
  <c r="I172" i="21"/>
  <c r="H1274" i="21"/>
  <c r="H1046" i="21"/>
  <c r="G286" i="21"/>
  <c r="H894" i="22"/>
  <c r="F286" i="22"/>
  <c r="F1046" i="22"/>
  <c r="H590" i="14"/>
  <c r="J1236" i="21"/>
  <c r="G20" i="5"/>
  <c r="F932" i="21"/>
  <c r="J1198" i="22"/>
  <c r="I58" i="22"/>
  <c r="F96" i="5"/>
  <c r="I742" i="22"/>
  <c r="G514" i="22"/>
  <c r="J704" i="22"/>
  <c r="I58" i="21"/>
  <c r="I1768" i="22"/>
  <c r="G96" i="13"/>
  <c r="I1084" i="21"/>
  <c r="F1160" i="21"/>
  <c r="J628" i="22"/>
  <c r="F856" i="21"/>
  <c r="H172" i="5"/>
  <c r="J590" i="22"/>
  <c r="G704" i="21"/>
  <c r="G1502" i="21"/>
  <c r="I286" i="22"/>
  <c r="H818" i="21"/>
  <c r="J704" i="21"/>
  <c r="F324" i="21"/>
  <c r="G172" i="18"/>
  <c r="F476" i="22"/>
  <c r="G438" i="14"/>
  <c r="I1464" i="22"/>
  <c r="H1730" i="22"/>
  <c r="J780" i="21"/>
  <c r="G1464" i="21"/>
  <c r="J210" i="21"/>
  <c r="F476" i="14"/>
  <c r="H818" i="22"/>
  <c r="G400" i="22"/>
  <c r="F1350" i="22"/>
  <c r="F20" i="14"/>
  <c r="F1426" i="21"/>
  <c r="H476" i="22"/>
  <c r="J1046" i="22"/>
  <c r="I476" i="22"/>
  <c r="J58" i="22"/>
  <c r="G438" i="21"/>
  <c r="F1084" i="21"/>
  <c r="G894" i="21"/>
  <c r="H286" i="21"/>
  <c r="G1084" i="22"/>
  <c r="H1122" i="21"/>
  <c r="J1388" i="22"/>
  <c r="F134" i="5"/>
  <c r="H20" i="14"/>
  <c r="G58" i="18"/>
  <c r="F628" i="21"/>
  <c r="F134" i="18"/>
  <c r="J324" i="15"/>
  <c r="J1578" i="21"/>
  <c r="H628" i="21"/>
  <c r="F1388" i="21"/>
  <c r="F704" i="21"/>
  <c r="H856" i="21"/>
  <c r="F210" i="21"/>
  <c r="H248" i="21"/>
  <c r="G172" i="21"/>
  <c r="J172" i="5"/>
  <c r="F514" i="21"/>
  <c r="F20" i="18"/>
  <c r="G1274" i="22"/>
  <c r="H1236" i="22"/>
  <c r="J172" i="18"/>
  <c r="F96" i="13"/>
  <c r="I1692" i="22"/>
  <c r="J1312" i="22"/>
  <c r="H1426" i="21"/>
  <c r="I1540" i="21"/>
  <c r="H362" i="21"/>
  <c r="G1540" i="21"/>
  <c r="G552" i="22"/>
  <c r="G172" i="22"/>
  <c r="I1654" i="22"/>
  <c r="G58" i="15"/>
  <c r="I1806" i="22"/>
  <c r="H1198" i="21"/>
  <c r="H666" i="22"/>
  <c r="H1768" i="22"/>
  <c r="F134" i="21"/>
  <c r="F210" i="22"/>
  <c r="I210" i="15"/>
  <c r="G552" i="14"/>
  <c r="G20" i="13"/>
  <c r="J438" i="14"/>
  <c r="F172" i="22"/>
  <c r="G704" i="22"/>
  <c r="G20" i="15"/>
  <c r="F1464" i="21"/>
  <c r="G1122" i="21"/>
  <c r="G1350" i="22"/>
  <c r="I552" i="14"/>
  <c r="F552" i="22"/>
  <c r="F552" i="14"/>
  <c r="F1806" i="22"/>
  <c r="H1540" i="21"/>
  <c r="J1464" i="21"/>
  <c r="J666" i="22"/>
  <c r="F96" i="18"/>
  <c r="G590" i="21"/>
  <c r="I932" i="22"/>
  <c r="G210" i="15"/>
  <c r="F20" i="15"/>
  <c r="I96" i="21"/>
  <c r="G590" i="14"/>
  <c r="F1692" i="22"/>
  <c r="I1578" i="21"/>
  <c r="J1008" i="21"/>
  <c r="I1388" i="21"/>
  <c r="I590" i="14"/>
  <c r="J1084" i="21"/>
  <c r="F590" i="21"/>
  <c r="H96" i="13"/>
  <c r="J552" i="14"/>
  <c r="F362" i="21"/>
  <c r="H1578" i="21"/>
  <c r="F248" i="22"/>
  <c r="I476" i="14"/>
  <c r="G362" i="21"/>
  <c r="G1426" i="21"/>
  <c r="F1274" i="22"/>
  <c r="J210" i="15"/>
  <c r="G96" i="22"/>
  <c r="H932" i="22"/>
  <c r="I96" i="13"/>
  <c r="I248" i="15"/>
  <c r="J894" i="22"/>
  <c r="J58" i="21"/>
  <c r="F704" i="22"/>
  <c r="I58" i="15"/>
  <c r="H1160" i="22"/>
  <c r="J476" i="14"/>
  <c r="F286" i="21"/>
  <c r="F172" i="5"/>
  <c r="I1274" i="21"/>
  <c r="I1084" i="22"/>
  <c r="H58" i="13"/>
  <c r="F1654" i="22"/>
  <c r="H248" i="22"/>
  <c r="J58" i="15"/>
  <c r="G666" i="21"/>
  <c r="J286" i="21"/>
  <c r="J1692" i="22"/>
  <c r="G1198" i="21"/>
  <c r="J248" i="21"/>
  <c r="F438" i="22"/>
  <c r="F1198" i="22"/>
  <c r="J248" i="22"/>
  <c r="H210" i="5"/>
  <c r="G134" i="18"/>
  <c r="J210" i="22"/>
  <c r="H58" i="21"/>
  <c r="F1616" i="22"/>
  <c r="J628" i="21"/>
  <c r="H1806" i="22"/>
  <c r="F20" i="22"/>
  <c r="J438" i="22"/>
  <c r="J20" i="15"/>
  <c r="F1464" i="22"/>
  <c r="I476" i="21"/>
  <c r="I552" i="21"/>
  <c r="H704" i="21"/>
  <c r="J666" i="21"/>
  <c r="I628" i="21"/>
  <c r="H96" i="15"/>
  <c r="I400" i="22"/>
  <c r="G20" i="21"/>
  <c r="I1464" i="21"/>
  <c r="I1008" i="21"/>
  <c r="F666" i="22"/>
  <c r="G134" i="22"/>
  <c r="G324" i="21"/>
  <c r="F742" i="21"/>
  <c r="F1502" i="21"/>
  <c r="J96" i="18"/>
  <c r="H1464" i="21"/>
  <c r="H1046" i="22"/>
  <c r="J1730" i="22"/>
  <c r="I134" i="18"/>
  <c r="J856" i="22"/>
  <c r="H96" i="18"/>
  <c r="F58" i="21"/>
  <c r="F1236" i="22"/>
  <c r="J1768" i="22"/>
  <c r="J742" i="22"/>
  <c r="J1160" i="21"/>
  <c r="F324" i="15"/>
  <c r="I780" i="21"/>
  <c r="J1122" i="21"/>
  <c r="F324" i="22"/>
  <c r="I210" i="22"/>
  <c r="G1236" i="22"/>
  <c r="H742" i="21"/>
  <c r="H400" i="22"/>
  <c r="I20" i="21"/>
  <c r="H96" i="21"/>
  <c r="H552" i="21"/>
  <c r="F780" i="21"/>
  <c r="G286" i="15"/>
  <c r="I1160" i="21"/>
  <c r="J58" i="18"/>
  <c r="F96" i="22"/>
  <c r="H324" i="15"/>
  <c r="I1160" i="22"/>
  <c r="H210" i="15"/>
  <c r="I780" i="22"/>
  <c r="J20" i="5"/>
  <c r="F932" i="22"/>
  <c r="H58" i="14"/>
  <c r="I894" i="21"/>
  <c r="F1008" i="21"/>
  <c r="I932" i="21"/>
  <c r="I134" i="5"/>
  <c r="J818" i="22"/>
  <c r="G1008" i="21"/>
  <c r="J1350" i="22"/>
  <c r="H172" i="21"/>
  <c r="G1312" i="22"/>
  <c r="F590" i="22"/>
  <c r="H704" i="22"/>
  <c r="J20" i="13"/>
  <c r="H1160" i="21"/>
  <c r="G742" i="22"/>
  <c r="J1274" i="22"/>
  <c r="I1312" i="22"/>
  <c r="G1084" i="21"/>
  <c r="F856" i="22"/>
  <c r="I590" i="21"/>
  <c r="J1160" i="22"/>
  <c r="G780" i="22"/>
  <c r="I400" i="21"/>
  <c r="F1312" i="21"/>
  <c r="J932" i="22"/>
  <c r="H20" i="21"/>
  <c r="I362" i="22"/>
  <c r="F20" i="21"/>
  <c r="H96" i="5"/>
  <c r="G1578" i="21"/>
  <c r="J590" i="21"/>
  <c r="H476" i="21"/>
  <c r="H1236" i="21"/>
  <c r="I286" i="15"/>
  <c r="H1502" i="21"/>
  <c r="G742" i="21"/>
  <c r="I172" i="5"/>
  <c r="G1692" i="22"/>
  <c r="H1312" i="21"/>
  <c r="I1426" i="21"/>
  <c r="G400" i="21"/>
  <c r="I248" i="22"/>
  <c r="I210" i="5"/>
  <c r="G20" i="14"/>
  <c r="I58" i="5"/>
  <c r="I818" i="22"/>
  <c r="H1198" i="22"/>
  <c r="F58" i="22"/>
  <c r="G134" i="21"/>
  <c r="G324" i="15"/>
  <c r="I210" i="21"/>
  <c r="J1616" i="22"/>
  <c r="J1654" i="22"/>
  <c r="G856" i="22"/>
  <c r="F58" i="18"/>
  <c r="F248" i="21"/>
  <c r="H20" i="5"/>
  <c r="G1312" i="21"/>
  <c r="J96" i="5"/>
  <c r="F818" i="22"/>
  <c r="I134" i="22"/>
  <c r="H438" i="21"/>
  <c r="J552" i="21"/>
  <c r="G248" i="21"/>
  <c r="H666" i="21"/>
  <c r="H172" i="18"/>
  <c r="H134" i="21"/>
  <c r="J1426" i="21"/>
  <c r="H248" i="15"/>
  <c r="G818" i="22"/>
  <c r="J1464" i="22"/>
  <c r="F134" i="22"/>
  <c r="J1502" i="21"/>
  <c r="H1616" i="22"/>
  <c r="J210" i="5"/>
  <c r="H1312" i="22"/>
  <c r="H438" i="22"/>
  <c r="G96" i="18"/>
  <c r="H1350" i="22"/>
  <c r="F1122" i="21"/>
  <c r="J438" i="21"/>
  <c r="J58" i="5"/>
  <c r="G134" i="5"/>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authors>
    <author>SANDRA SABROSO TORRES</author>
    <author>David Lubián</author>
  </authors>
  <commentList>
    <comment ref="C7" authorId="0" shapeId="0">
      <text>
        <r>
          <rPr>
            <b/>
            <sz val="9"/>
            <color indexed="81"/>
            <rFont val="Tahoma"/>
            <family val="2"/>
          </rPr>
          <t>URA: Unidad Responsable de Accesibilidad</t>
        </r>
        <r>
          <rPr>
            <sz val="9"/>
            <color indexed="81"/>
            <rFont val="Tahoma"/>
            <family val="2"/>
          </rPr>
          <t xml:space="preserve">
</t>
        </r>
      </text>
    </comment>
    <comment ref="C9" authorId="0" shapeId="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text>
        <r>
          <rPr>
            <b/>
            <sz val="9"/>
            <color indexed="81"/>
            <rFont val="Tahoma"/>
            <family val="2"/>
          </rPr>
          <t>Indicar el nombre de la Entidad responsable del sitio web, p.e. la Subdirección General XXX</t>
        </r>
      </text>
    </comment>
    <comment ref="C19" authorId="1" shapeId="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text>
        <r>
          <rPr>
            <b/>
            <sz val="9"/>
            <color indexed="81"/>
            <rFont val="Tahoma"/>
            <family val="2"/>
          </rPr>
          <t xml:space="preserve"> Indicar el correo electrónico de contacto de la entidad o de la persona responsable del sitio web.</t>
        </r>
      </text>
    </comment>
    <comment ref="C31" authorId="1" shapeId="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r>
          <rPr>
            <sz val="9"/>
            <color indexed="81"/>
            <rFont val="Tahoma"/>
            <family val="2"/>
          </rPr>
          <t xml:space="preserve">
</t>
        </r>
      </text>
    </comment>
    <comment ref="C33" authorId="1" shapeId="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text>
        <r>
          <rPr>
            <b/>
            <sz val="9"/>
            <color indexed="81"/>
            <rFont val="Tahoma"/>
            <family val="2"/>
          </rPr>
          <t>Indicar la fecha en la que se realiza la revisión de accesibilidad en formato dd/mm/aaaa</t>
        </r>
      </text>
    </comment>
    <comment ref="C41" authorId="1" shapeId="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text>
        <r>
          <rPr>
            <b/>
            <sz val="9"/>
            <color indexed="81"/>
            <rFont val="Tahoma"/>
            <family val="2"/>
          </rPr>
          <t>Nombre de la empresa que ha realizado la evaluación.</t>
        </r>
        <r>
          <rPr>
            <sz val="9"/>
            <color indexed="81"/>
            <rFont val="Tahoma"/>
            <family val="2"/>
          </rPr>
          <t xml:space="preserve">
</t>
        </r>
      </text>
    </comment>
    <comment ref="C62" authorId="1" shapeId="0">
      <text>
        <r>
          <rPr>
            <b/>
            <sz val="9"/>
            <color indexed="81"/>
            <rFont val="Tahoma"/>
            <family val="2"/>
          </rPr>
          <t>Datos relacionados con la revisión.</t>
        </r>
      </text>
    </comment>
  </commentList>
</comments>
</file>

<file path=xl/comments10.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authors>
    <author>David Lubián</author>
  </authors>
  <commentList>
    <comment ref="K14" authorId="0" shapeId="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authors>
    <author>SANDRA SABROSO TORRES</author>
  </authors>
  <commentList>
    <comment ref="B6" authorId="0" shapeId="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authors>
    <author>David Lubián</author>
    <author>SANDRA SABROSO TORRES</author>
  </authors>
  <commentList>
    <comment ref="D7" authorId="0" shapeId="0">
      <text>
        <r>
          <rPr>
            <b/>
            <sz val="9"/>
            <color indexed="81"/>
            <rFont val="Tahoma"/>
            <family val="2"/>
          </rPr>
          <t>Puede ser de dos tipos: Página web o Documento no web</t>
        </r>
      </text>
    </comment>
    <comment ref="E7" authorId="1" shapeId="0">
      <text>
        <r>
          <rPr>
            <b/>
            <sz val="9"/>
            <color indexed="81"/>
            <rFont val="Tahoma"/>
            <family val="2"/>
          </rPr>
          <t>Tipo de la página web añadida (de acuerdo con la Decisión de Ejecución 2018/1524).</t>
        </r>
      </text>
    </comment>
    <comment ref="G7" authorId="1" shapeId="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<sst xmlns="http://schemas.openxmlformats.org/spreadsheetml/2006/main" count="3707" uniqueCount="533">
  <si>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</si>
  <si>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</si>
  <si>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</si>
  <si>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</si>
  <si>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</si>
  <si>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</si>
  <si>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</si>
  <si>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</si>
  <si>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</si>
  <si>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</si>
  <si>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</si>
  <si>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</si>
  <si>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</si>
  <si>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</si>
  <si>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</si>
  <si>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</si>
  <si>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</si>
  <si>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</si>
  <si>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</si>
  <si>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</si>
  <si>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Ej. Imágenes, tablas, listas, multimedia, formularios, plantilla X, plantilla Y</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</si>
  <si>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</si>
  <si>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</si>
  <si>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</si>
  <si>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</si>
  <si>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</si>
  <si>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</si>
  <si>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</si>
  <si>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</si>
  <si>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</si>
  <si>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</si>
  <si>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</si>
  <si>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</si>
  <si>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</si>
  <si>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</si>
  <si>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</si>
  <si>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</si>
  <si>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</si>
  <si>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</si>
  <si>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</si>
  <si>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</si>
  <si>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</si>
  <si>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</si>
  <si>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</si>
  <si>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</si>
  <si>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</si>
  <si>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</si>
  <si>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</si>
  <si>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</si>
  <si>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</si>
  <si>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</si>
  <si>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</si>
  <si>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</si>
  <si>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</si>
  <si>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</si>
  <si>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</si>
  <si>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</si>
  <si>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</si>
  <si>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</si>
  <si>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</si>
  <si>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</si>
  <si>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</si>
  <si>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</si>
  <si>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</si>
  <si>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</si>
  <si>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</si>
  <si>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</si>
  <si>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</si>
  <si>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</si>
  <si>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</si>
  <si>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</si>
  <si>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</si>
  <si>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</si>
  <si>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</si>
  <si>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</si>
  <si>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</si>
  <si>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</si>
  <si>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</si>
  <si>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</si>
  <si>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</si>
  <si>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</si>
  <si>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</si>
  <si>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</si>
  <si>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</si>
  <si>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</si>
  <si>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</si>
  <si>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</si>
  <si>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</si>
  <si>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</si>
  <si>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</si>
  <si>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</si>
  <si>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</si>
  <si>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</si>
  <si>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</si>
  <si>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</si>
  <si>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</si>
  <si>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</si>
  <si>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</si>
  <si>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</si>
  <si>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</si>
  <si>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</si>
  <si>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</si>
  <si>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</si>
  <si>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</si>
  <si>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</si>
  <si>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</si>
  <si>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</si>
  <si>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</si>
  <si>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</si>
  <si>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</si>
  <si>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</si>
  <si>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</si>
  <si>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</si>
  <si>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</si>
  <si>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</si>
  <si>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</si>
  <si>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</si>
  <si>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</si>
  <si>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</si>
  <si>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</si>
  <si>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</si>
  <si>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</si>
  <si>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</si>
  <si>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</si>
  <si>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</si>
  <si>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</si>
  <si>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</si>
  <si>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</si>
  <si>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</si>
  <si>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</si>
  <si>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</si>
  <si>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</si>
  <si>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</si>
  <si>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</si>
  <si>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</si>
  <si>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</si>
  <si>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</si>
  <si>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</si>
  <si>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</si>
  <si>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</si>
  <si>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</si>
  <si>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</si>
  <si>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</si>
  <si>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</si>
  <si>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</si>
  <si>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</si>
  <si>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</si>
  <si>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</si>
  <si>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</si>
  <si>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</si>
  <si>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</si>
  <si>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</si>
  <si>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</si>
  <si>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</si>
  <si>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</si>
  <si>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</si>
  <si>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</si>
  <si>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</si>
  <si>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</si>
  <si>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</si>
  <si>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</si>
  <si>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</si>
  <si>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</si>
  <si>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</si>
  <si>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</si>
  <si>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</si>
  <si>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</si>
  <si>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</si>
  <si>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</si>
  <si>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</si>
  <si>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</si>
  <si>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</si>
  <si>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</si>
  <si>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</si>
  <si>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</si>
  <si>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</si>
  <si>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</si>
  <si>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</si>
  <si>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</si>
  <si>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</si>
  <si>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</si>
  <si>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</si>
  <si>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</si>
  <si>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</si>
  <si>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</si>
  <si>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</si>
  <si>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</si>
  <si>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</si>
  <si>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</si>
  <si>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</si>
  <si>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</si>
  <si>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</si>
  <si>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</si>
  <si>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</si>
  <si>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</si>
  <si>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</si>
  <si>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</si>
  <si>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</si>
  <si>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</si>
  <si>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</si>
  <si>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</si>
  <si>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</si>
  <si>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</si>
  <si>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</si>
  <si>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</si>
  <si>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</si>
  <si>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</si>
  <si>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</si>
  <si>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</si>
  <si>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</si>
  <si>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</si>
  <si>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</si>
  <si>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</si>
  <si>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</si>
  <si>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</si>
  <si>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</si>
  <si>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</si>
  <si>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</si>
  <si>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</si>
  <si>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</si>
  <si>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</si>
  <si>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</si>
  <si>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</si>
  <si>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</si>
  <si>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</si>
  <si>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</si>
  <si>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</si>
  <si>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</si>
  <si>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</si>
  <si>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</si>
  <si>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</si>
  <si>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</si>
  <si>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</si>
  <si>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</si>
  <si>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</si>
  <si>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</si>
  <si>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</si>
  <si>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</si>
  <si>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</si>
  <si>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</si>
  <si>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</si>
  <si>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</si>
  <si>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</si>
  <si>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</si>
  <si>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</si>
  <si>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</si>
  <si>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</si>
  <si>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</si>
  <si>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</si>
  <si>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</si>
  <si>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</si>
  <si>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</si>
  <si>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</si>
  <si>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</si>
  <si>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</si>
  <si>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</si>
  <si>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</si>
  <si>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</si>
  <si>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</si>
  <si>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</si>
  <si>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</si>
  <si>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</si>
  <si>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</si>
  <si>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</si>
  <si>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</si>
  <si>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</si>
  <si>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</si>
  <si>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</si>
  <si>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</si>
  <si>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</si>
  <si>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</si>
  <si>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</si>
  <si>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</si>
  <si>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</si>
  <si>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</si>
  <si>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</si>
  <si>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</si>
  <si>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</si>
  <si>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</si>
  <si>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</si>
  <si>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</si>
  <si>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</si>
  <si>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</si>
  <si>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</si>
  <si>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</si>
  <si>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</si>
  <si>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</si>
  <si>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</si>
  <si>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</si>
  <si>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</si>
  <si>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</si>
  <si>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</si>
  <si>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</si>
  <si>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</si>
  <si>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</si>
  <si>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</si>
  <si>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</si>
  <si>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</si>
  <si>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</si>
  <si>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</si>
  <si>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</si>
  <si>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</si>
  <si>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</si>
  <si>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</si>
  <si>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</si>
  <si>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</si>
  <si>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</si>
  <si>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</si>
  <si>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</si>
  <si>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</si>
  <si>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</si>
  <si>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</si>
  <si>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</si>
  <si>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</si>
  <si>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</si>
  <si>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</si>
  <si>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</si>
  <si>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</si>
  <si>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</si>
  <si>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</si>
  <si>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</si>
  <si>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</si>
  <si>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</si>
  <si>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</si>
  <si>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</si>
  <si>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</si>
  <si>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</si>
  <si>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</si>
  <si>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</si>
  <si>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</si>
  <si>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</si>
  <si>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</si>
  <si>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</si>
  <si>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</si>
  <si>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</si>
  <si>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</si>
  <si>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</si>
  <si>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</si>
  <si>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</si>
  <si>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</si>
  <si>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</si>
  <si>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</si>
  <si>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</si>
  <si>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</si>
  <si>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</si>
  <si>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</si>
  <si>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</si>
  <si>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</si>
  <si>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</si>
  <si>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</si>
  <si>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</si>
  <si>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</si>
  <si>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</si>
  <si>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</si>
  <si>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</si>
  <si>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</si>
  <si>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</si>
  <si>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</si>
  <si>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</si>
  <si>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</si>
  <si>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</si>
  <si>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</si>
  <si>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</si>
  <si>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</si>
  <si>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</si>
  <si>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</si>
  <si>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</si>
  <si>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</si>
  <si>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</si>
  <si>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</si>
  <si>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</si>
  <si>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</si>
  <si>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</si>
  <si>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</si>
  <si>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</si>
  <si>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</si>
  <si>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</si>
  <si>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</si>
  <si>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</si>
  <si>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</si>
  <si>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</si>
  <si>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</si>
  <si>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</si>
  <si>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</si>
  <si>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</si>
  <si>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</si>
  <si>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</si>
  <si>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</si>
  <si>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</si>
  <si>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</si>
  <si>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</si>
  <si>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</si>
  <si>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</si>
  <si>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</si>
  <si>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</si>
  <si>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</si>
  <si>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</si>
  <si>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</si>
  <si>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</si>
  <si>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</si>
  <si>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</si>
  <si>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</si>
  <si>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</si>
  <si>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</si>
  <si>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</si>
  <si>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</si>
  <si>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</si>
  <si>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</si>
  <si>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</si>
  <si>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</si>
  <si>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</si>
  <si>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</si>
  <si>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</si>
  <si>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</si>
  <si>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</si>
  <si>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</si>
  <si>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</si>
  <si>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</si>
  <si>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</si>
  <si>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</si>
  <si>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</si>
  <si>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</si>
  <si>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</si>
  <si>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</si>
  <si>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</si>
  <si>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</si>
  <si>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</si>
  <si>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</si>
  <si>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</si>
  <si>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</si>
  <si>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</si>
  <si>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</si>
  <si>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</si>
  <si>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</si>
  <si>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</si>
  <si>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</si>
  <si>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</si>
  <si>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</si>
  <si>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</si>
  <si>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</si>
  <si>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</si>
  <si>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</si>
  <si>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</si>
  <si>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</si>
  <si>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</si>
  <si>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</si>
  <si>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</si>
  <si>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</si>
  <si>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</si>
  <si>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</si>
  <si>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</si>
  <si>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</si>
  <si>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</si>
  <si>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</si>
  <si>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</si>
  <si>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</si>
  <si>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</si>
  <si>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</si>
  <si>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</si>
  <si>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</si>
  <si>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</si>
  <si>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</si>
  <si>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</si>
  <si>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</si>
  <si>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</si>
  <si>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</si>
  <si>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</si>
  <si>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</si>
  <si>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</si>
  <si>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</si>
  <si>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</si>
  <si>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</si>
  <si>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</si>
  <si>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</si>
  <si>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</si>
  <si>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</si>
  <si>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</si>
  <si>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</si>
  <si>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</si>
  <si>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</si>
  <si>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Atos</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</si>
  <si>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</si>
  <si>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Hospital Clínico San Carlos</t>
  </si>
  <si>
    <t>https://www.comunidad.madrid/hospital/clinicosancarlos/</t>
  </si>
  <si>
    <t>Se analizan las páginas del dominio https://www.comunidad.madrid/hospital/clinicosancarlos/</t>
  </si>
  <si>
    <t>Proporcionar información sobre el hospital, sus servicios e instalaciones</t>
  </si>
  <si>
    <t>https://www.comunidad.madrid/hospital/clinicosancarlos/ciudadanos</t>
  </si>
  <si>
    <t>https://www.comunidad.madrid/hospital/clinicosancarlos/ciudadanos/consultas-externas</t>
  </si>
  <si>
    <t>https://www.comunidad.madrid/hospital/clinicosancarlos/ciudadanos/donacion-0</t>
  </si>
  <si>
    <t>https://www.comunidad.madrid/hospital/clinicosancarlos/profesionales</t>
  </si>
  <si>
    <t>https://www.comunidad.madrid/hospital/clinicosancarlos/profesionales/docencia</t>
  </si>
  <si>
    <t>https://www.comunidad.madrid/hospital/clinicosancarlos/profesionales/unidades-referencia-nacional-redes-europeas</t>
  </si>
  <si>
    <t>https://www.comunidad.madrid/hospital/clinicosancarlos/comunicacion</t>
  </si>
  <si>
    <t>https://www.comunidad.madrid/hospital/clinicosancarlos/comunicacion/videoteca</t>
  </si>
  <si>
    <t>https://www.comunidad.madrid/hospital/clinicosancarlos/comunicacion/noticias</t>
  </si>
  <si>
    <t>https://www.comunidad.madrid/hospital/clinicosancarlos/nosotros</t>
  </si>
  <si>
    <t>https://www.comunidad.madrid/hospital/clinicosancarlos/nosotros/gestion-ambiental</t>
  </si>
  <si>
    <t>https://www.comunidad.madrid/hospital/clinicosancarlos/nosotros/proveedores-0</t>
  </si>
  <si>
    <t>https://www.comunidad.madrid/hospital/clinicosancarlos/aviso-legal-privacidad</t>
  </si>
  <si>
    <t>https://www.comunidad.madrid/hospital/clinicosancarlos/sitemap</t>
  </si>
  <si>
    <t>https://www.comunidad.madrid/hospital/clinicosancarlos/declaracion-accesibilidad</t>
  </si>
  <si>
    <t>Inicio</t>
  </si>
  <si>
    <t>Ciudadanos</t>
  </si>
  <si>
    <t>Consultas externas</t>
  </si>
  <si>
    <t>Donación</t>
  </si>
  <si>
    <t>Profesionales</t>
  </si>
  <si>
    <t>Docencia</t>
  </si>
  <si>
    <t>Referencia</t>
  </si>
  <si>
    <t>Comunicación</t>
  </si>
  <si>
    <t>Videoteca</t>
  </si>
  <si>
    <t>Noticias</t>
  </si>
  <si>
    <t>Nosotros</t>
  </si>
  <si>
    <t>Gestión Ambiental</t>
  </si>
  <si>
    <t>Proveedores</t>
  </si>
  <si>
    <t>Aviso legal</t>
  </si>
  <si>
    <t>Accesibilidad</t>
  </si>
  <si>
    <t>Página Web</t>
  </si>
  <si>
    <t xml:space="preserve">Home </t>
  </si>
  <si>
    <t>Home - Ciudadanos</t>
  </si>
  <si>
    <t>Home - Ciudadanos - Consultas externas</t>
  </si>
  <si>
    <t>Home - Ciudadanos - Donación</t>
  </si>
  <si>
    <t>Home - Profesionales</t>
  </si>
  <si>
    <t>Home - Profesionales - Docencia</t>
  </si>
  <si>
    <t>Home - Profesionales - Unidades de Referencia Nacional</t>
  </si>
  <si>
    <t>Home - Comunicación</t>
  </si>
  <si>
    <t>Home - Comunicación - Videoteca</t>
  </si>
  <si>
    <t>Home - Comunicación - Noticias de actualidad</t>
  </si>
  <si>
    <t>Home - Nosotros</t>
  </si>
  <si>
    <t>Home - Nosotros - Gestión ambiental</t>
  </si>
  <si>
    <t>Home - Nosotros - Proveedores</t>
  </si>
  <si>
    <t>Home - Aviso legal-Privacidad</t>
  </si>
  <si>
    <t>Home - Mapa Web</t>
  </si>
  <si>
    <t>Home - Accesibilidad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</si>
</sst>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6">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cellStyle name="Bad2" xfId="19"/>
    <cellStyle name="Bad3" xfId="22"/>
    <cellStyle name="Blanco" xfId="21"/>
    <cellStyle name="Card" xfId="6"/>
    <cellStyle name="Card B" xfId="13"/>
    <cellStyle name="Card BL" xfId="14"/>
    <cellStyle name="Card BR" xfId="15"/>
    <cellStyle name="Card L" xfId="11"/>
    <cellStyle name="Card R" xfId="12"/>
    <cellStyle name="Card T" xfId="9"/>
    <cellStyle name="Card TL" xfId="8"/>
    <cellStyle name="Card TR" xfId="10"/>
    <cellStyle name="Column Header" xfId="16"/>
    <cellStyle name="Enlace" xfId="18"/>
    <cellStyle name="Good" xfId="23"/>
    <cellStyle name="Good2" xfId="20"/>
    <cellStyle name="Hipervínculo" xfId="24" builtinId="8"/>
    <cellStyle name="Input" xfId="7"/>
    <cellStyle name="LINK" xfId="17"/>
    <cellStyle name="Normal" xfId="0" builtinId="0"/>
    <cellStyle name="Normal 2" xfId="25"/>
    <cellStyle name="Resultado" xfId="1"/>
    <cellStyle name="Resultado2" xfId="2"/>
    <cellStyle name="Título" xfId="3"/>
    <cellStyle name="Título1" xfId="4"/>
  </cellStyles>
  <dxfs count="1666">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xmlns=""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xmlns=""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xmlns=""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xmlns=""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xmlns="" id="{00000000-0008-0000-09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xmlns=""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xmlns=""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xmlns=""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63</xdr:row>
      <xdr:rowOff>495</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xmlns=""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26</xdr:row>
      <xdr:rowOff>1351</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xmlns=""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xmlns="" id="{00000000-0008-0000-09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xmlns="" id="{00000000-0008-0000-09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xmlns="" id="{00000000-0008-0000-09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xmlns="" id="{00000000-0008-0000-09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xmlns=""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xmlns=""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xmlns=""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xmlns=""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xmlns=""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xmlns="" id="{00000000-0008-0000-03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xmlns=""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xmlns=""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xmlns=""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xmlns="" id="{00000000-0008-0000-03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xmlns="" id="{00000000-0008-0000-03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xmlns="" id="{00000000-0008-0000-04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0</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xmlns=""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xmlns=""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xmlns=""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xmlns=""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xmlns=""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xmlns=""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xmlns=""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xmlns="" id="{00000000-0008-0000-04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xmlns="" id="{00000000-0008-0000-04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xmlns="" id="{00000000-0008-0000-04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xmlns="" id="{00000000-0008-0000-04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xmlns="" id="{00000000-0008-0000-04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xmlns="" id="{00000000-0008-0000-04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xmlns="" id="{00000000-0008-0000-04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xmlns="" id="{6282DA80-0781-4B4F-AACF-11B6128A46B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xmlns="" id="{EC2FA621-38A6-43AD-B671-87F9DBB1743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xmlns=""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xmlns="" id="{E67B90A5-73DB-4D96-ABF6-A05E4B30C05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xmlns=""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xmlns="" id="{25E6FD57-063E-4122-AB58-FCBC91650B8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xmlns=""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xmlns="" id="{137279DC-30EF-4F99-A8D2-7FC4AA3370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xmlns=""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xmlns="" id="{9872E02F-F2E7-4836-A8AC-64F7EB5D3DD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xmlns=""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xmlns="" id="{4121ED59-2E21-4960-A0C1-B4F500C9483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xmlns=""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xmlns="" id="{02E92828-227F-4291-BBA2-0B4A2ED5DC53}"/>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xmlns=""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xmlns="" id="{F48BA175-1EEC-4DDD-8DD8-89E2DA1196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xmlns=""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xmlns="" id="{4B4200EA-7E29-4BA6-BFFC-627D39BEDC4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xmlns="" id="{CAA89297-5CC6-44A4-9373-6EEA2395E0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xmlns="" id="{00000000-0008-0000-05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xmlns=""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xmlns=""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xmlns=""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xmlns="" id="{00000000-0008-0000-05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xmlns="" id="{00000000-0008-0000-05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xmlns=""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xmlns=""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xmlns=""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xmlns=""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xmlns="" id="{B6040042-5C72-4BF7-8665-035BEF52925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xmlns="" id="{877BB9E8-35C7-4171-9C9A-0D57CC7BEB7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xmlns="" id="{AAA46B3F-F74C-436D-99F6-856470B38B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xmlns="" id="{375D97CC-9862-46FC-8283-36C9A7F48EB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xmlns="" id="{0DBD1209-0F93-4FEC-81D3-F62094FC6DA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xmlns="" id="{431B96D0-8FFC-4B8E-8547-C41143AFDBA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xmlns=""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xmlns=""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xmlns="" id="{00000000-0008-0000-06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xmlns=""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xmlns=""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xmlns=""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xmlns=""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xmlns=""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xmlns=""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xmlns=""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xmlns=""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xmlns=""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xmlns=""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xmlns=""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xmlns=""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xmlns=""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xmlns=""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xmlns=""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xmlns=""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xmlns=""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xmlns=""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xmlns="" id="{00000000-0008-0000-06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xmlns="" id="{00000000-0008-0000-06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xmlns="" id="{00000000-0008-0000-06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xmlns="" id="{00000000-0008-0000-06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xmlns="" id="{00000000-0008-0000-06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xmlns="" id="{00000000-0008-0000-06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xmlns="" id="{00000000-0008-0000-06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xmlns="" id="{00000000-0008-0000-06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xmlns="" id="{00000000-0008-0000-0600-00001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xmlns="" id="{00000000-0008-0000-0600-00001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xmlns="" id="{00000000-0008-0000-0600-000020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xmlns="" id="{00000000-0008-0000-0600-00002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xmlns="" id="{00000000-0008-0000-0600-00002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xmlns="" id="{00000000-0008-0000-0600-00002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xmlns="" id="{00000000-0008-0000-0600-00002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xmlns="" id="{00000000-0008-0000-0600-00002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xmlns="" id="{00000000-0008-0000-0600-00002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xmlns="" id="{00000000-0008-0000-0600-00002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xmlns=""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xmlns=""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xmlns=""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xmlns=""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xmlns=""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xmlns="" id="{00000000-0008-0000-0600-00003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xmlns="" id="{00000000-0008-0000-0600-00003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xmlns="" id="{00000000-0008-0000-0600-00003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xmlns="" id="{00000000-0008-0000-0600-00003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xmlns="" id="{00000000-0008-0000-0600-00003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xmlns="" id="{00000000-0008-0000-0600-00004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xmlns="" id="{00000000-0008-0000-0600-00004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xmlns="" id="{00000000-0008-0000-0600-00004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xmlns="" id="{00000000-0008-0000-0600-00004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xmlns="" id="{00000000-0008-0000-0600-00004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xmlns="" id="{00000000-0008-0000-0600-00004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xmlns="" id="{00000000-0008-0000-0600-00004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xmlns=""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xmlns=""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xmlns=""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xmlns=""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xmlns=""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xmlns=""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xmlns=""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xmlns=""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xmlns=""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xmlns=""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xmlns=""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xmlns="" id="{00000000-0008-0000-0600-00005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xmlns="" id="{00000000-0008-0000-0600-00005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xmlns="" id="{00000000-0008-0000-0600-00005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xmlns="" id="{00000000-0008-0000-0600-00005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xmlns="" id="{00000000-0008-0000-0600-00005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xmlns="" id="{00000000-0008-0000-0600-00005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xmlns=""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xmlns=""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xmlns=""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xmlns=""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xmlns=""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xmlns=""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xmlns=""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xmlns=""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xmlns="" id="{00000000-0008-0000-0600-00006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xmlns="" id="{00000000-0008-0000-0600-00006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xmlns=""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xmlns="" id="{00000000-0008-0000-0600-00006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xmlns=""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xmlns="" id="{00000000-0008-0000-0600-00006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xmlns="" id="{00000000-0008-0000-0600-00006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xmlns=""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xmlns="" id="{00000000-0008-0000-0600-00006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xmlns=""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xmlns="" id="{00000000-0008-0000-0600-00006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xmlns=""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xmlns="" id="{00000000-0008-0000-0600-00006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xmlns="" id="{00000000-0008-0000-06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xmlns=""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xmlns="" id="{00000000-0008-0000-06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xmlns=""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xmlns="" id="{00000000-0008-0000-0600-00007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xmlns="" id="{00000000-0008-0000-0600-00003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xmlns=""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xmlns="" id="{64B6CB2B-739A-4D35-B4F0-D1A840922AB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xmlns="" id="{00000000-0008-0000-07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xmlns=""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xmlns=""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xmlns=""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xmlns="" id="{00000000-0008-0000-07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xmlns="" id="{00000000-0008-0000-07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xmlns="" id="{00000000-0008-0000-07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xmlns=""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xmlns="" id="{00000000-0008-0000-0700-00006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xmlns=""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xmlns="" id="{00000000-0008-0000-0700-00006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xmlns=""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xmlns="" id="{00000000-0008-0000-07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xmlns=""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xmlns="" id="{00000000-0008-0000-07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xmlns=""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xmlns=""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xmlns=""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xmlns="" id="{00000000-0008-0000-0700-00007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xmlns="" id="{00000000-0008-0000-0700-00007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xmlns=""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xmlns="" id="{00000000-0008-0000-0700-00007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xmlns=""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xmlns=""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xmlns="" id="{ECACFD47-2A35-4246-9FAB-A227FAA1B3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xmlns=""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xmlns=""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xmlns=""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xmlns=""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xmlns="" id="{30719572-95DA-4C26-B52C-F2D6B0BD0A2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xmlns="" id="{AA53C2BA-ECCB-4587-8ED7-EB818912BD7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xmlns="" id="{8B0D1928-4B71-43F5-8EEB-4560A084376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xmlns="" id="{FFCFC700-C0B5-4E85-B302-BA36B76562ED}"/>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xmlns="" id="{F2A34834-A414-4755-9243-06E5113ED71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xmlns="" id="{C4A15EAF-A804-494B-9FF9-5AFA22311D1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xmlns="" id="{1AA3725C-61EC-46C8-8DE4-D302EAA8A76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xmlns="" id="{241E557A-6C7C-449C-A826-CAD399D5EC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xmlns="" id="{0CD7567D-B5E3-4CB2-8BE0-57D748522AC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xmlns="" id="{5C813E4E-8142-4658-9A77-1AC2BF32590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xmlns="" id="{C041F79E-42E1-4B9D-970D-FDFC0627940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xmlns="" id="{FB34E56C-0724-4925-93FE-80A4B118DC3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xmlns="" id="{B6D37077-EDC8-479E-90D7-04519F2FE79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xmlns="" id="{9DB74199-4AB7-4F47-B814-665DE0F99AF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xmlns=""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xmlns=""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xmlns=""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xmlns=""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xmlns=""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xmlns=""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xmlns=""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xmlns=""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xmlns=""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xmlns=""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xmlns=""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xmlns="" id="{D3AE86DB-7476-4C52-8B30-1CB2B1F8E9D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xmlns="" id="{C136574E-F9DD-4446-96A8-39FC5FDD0BC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xmlns=""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xmlns="" id="{2EAA573B-1F10-45E8-8B06-76DF9F730EF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xmlns=""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xmlns=""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xmlns="" id="{C0910A41-3D67-42E0-AC6A-B2E322B8A04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xmlns=""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xmlns=""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xmlns=""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xmlns=""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xmlns=""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xmlns=""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xmlns=""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xmlns=""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xmlns=""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xmlns=""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xmlns=""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xmlns=""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xmlns=""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xmlns="" id="{87615422-C19D-4BD6-AB09-DEFF40E9C98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xmlns="" id="{9185A6C0-73DA-4550-8B86-85DD6466FF4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xmlns="" id="{A3909CD0-85DD-4584-9676-3FBECD5944A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xmlns="" id="{940E5A5B-84B8-49BA-B283-8E571F800EC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xmlns="" id="{309BB031-011A-42F0-ACE6-CCD4F18BD67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xmlns="" id="{E554B60D-AC13-442C-B9B2-EA01161CDB2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xmlns="" id="{4FE5396E-3FAF-4816-A95D-DF99D8C7577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xmlns="" id="{2BC3C428-E08B-499C-BB06-545D5836A8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xmlns="" id="{3F643BA9-F263-4699-A955-6B3B32EB899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xmlns="" id="{974523CF-ABC7-4A4E-ABCC-8DFA5BE4636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xmlns="" id="{A4B95028-6FEB-4AEB-9D75-642975EF448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xmlns="" id="{B866F00F-E01A-4FE6-953B-6815FCF8C3B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xmlns="" id="{6881603B-9A43-4D95-ABC3-902A41859BB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xmlns="" id="{FCEEB7F6-5D92-4A1C-8CF2-17748BEAAB5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xmlns="" id="{10C5445F-DA88-453E-A6F6-B8ACDE462CA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xmlns=""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xmlns=""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xmlns=""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xmlns=""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xmlns=""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xmlns=""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xmlns=""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xmlns=""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xmlns=""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xmlns=""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xmlns=""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xmlns="" id="{3D021F9D-87D8-44F5-A774-717B44A0DF1C}"/>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xmlns="" id="{32344AA2-4029-4671-98D7-E8D39F8FF0E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xmlns="" id="{44DF3865-2653-48FE-9400-296F459D8F6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xmlns="" id="{2ECF5755-994E-4E8A-B90F-7F30786850C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xmlns="" id="{97126FCE-CFEE-44F1-A7E4-3F145DE5C0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xmlns="" id="{9C1D0838-7861-4C52-8DAF-34F0462F0ED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id="1" name="Ambito_tematico" displayName="Ambito_tematico" ref="E9:E17" totalsRowShown="0">
  <tableColumns count="1">
    <tableColumn id="1" name="Educación"/>
  </tableColumns>
  <tableStyleInfo showFirstColumn="0" showLastColumn="0" showRowStripes="1" showColumnStripes="0"/>
</table>
</file>

<file path=xl/tables/table2.xml><?xml version="1.0" encoding="utf-8"?>
<table xmlns="http://schemas.openxmlformats.org/spreadsheetml/2006/main" id="3" name="Tipo_de_evaluación" displayName="Tipo_de_evaluación" ref="G9:G11" totalsRowShown="0">
  <tableColumns count="1">
    <tableColumn id="1"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L22"/>
  <sheetViews>
    <sheetView zoomScale="90" zoomScaleNormal="90" workbookViewId="0">
      <selection activeCell="L2" sqref="L2"/>
    </sheetView>
  </sheetViews>
  <sheetFormatPr baseColWidth="10" defaultColWidth="11.5703125" defaultRowHeight="12.75"/>
  <cols>
    <col min="1" max="1" width="11.7109375" customWidth="1"/>
    <col min="14" max="14" width="18.285156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478</v>
      </c>
      <c r="O2" s="3"/>
      <c r="P2" s="3"/>
      <c r="Q2" s="3"/>
      <c r="R2" s="3"/>
      <c r="S2" s="3"/>
      <c r="T2" s="3"/>
      <c r="U2" s="3"/>
      <c r="V2" s="3"/>
      <c r="W2" s="3"/>
      <c r="X2" s="3"/>
      <c r="Y2" s="3"/>
      <c r="Z2" s="3"/>
    </row>
    <row r="3" spans="1:64" ht="23.65" customHeight="1" thickTop="1">
      <c r="A3" s="1"/>
      <c r="B3" s="5" t="s">
        <v>278</v>
      </c>
      <c r="C3" s="3"/>
      <c r="D3" s="3"/>
      <c r="E3" s="3"/>
      <c r="F3" s="3"/>
      <c r="G3" s="3"/>
      <c r="H3" s="3"/>
      <c r="I3" s="3"/>
      <c r="J3" s="3"/>
      <c r="K3" s="3"/>
      <c r="L3" s="3"/>
      <c r="M3" s="3"/>
      <c r="N3" s="3"/>
      <c r="O3" s="3"/>
      <c r="P3" s="3"/>
      <c r="Q3" s="3"/>
      <c r="R3" s="3"/>
      <c r="S3" s="3"/>
      <c r="T3" s="3"/>
      <c r="U3" s="3"/>
      <c r="V3" s="3"/>
      <c r="W3" s="3"/>
      <c r="X3" s="3"/>
      <c r="Y3" s="3"/>
      <c r="Z3" s="3"/>
    </row>
    <row r="4" spans="1:64" ht="16.7"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75">
      <c r="B7" s="11" t="s">
        <v>2</v>
      </c>
    </row>
    <row r="9" spans="1:64" ht="216" customHeight="1">
      <c r="B9" s="247" t="s">
        <v>470</v>
      </c>
      <c r="C9" s="247"/>
      <c r="D9" s="247"/>
      <c r="E9" s="247"/>
      <c r="F9" s="247"/>
      <c r="G9" s="247"/>
      <c r="H9" s="247"/>
      <c r="I9" s="247"/>
      <c r="J9" s="247"/>
      <c r="K9" s="247"/>
      <c r="L9" s="247"/>
      <c r="M9" s="247"/>
      <c r="N9" s="247"/>
    </row>
    <row r="10" spans="1:64" ht="13.5" customHeight="1"/>
    <row r="11" spans="1:64" ht="86.25" customHeight="1">
      <c r="B11" s="247" t="s">
        <v>279</v>
      </c>
      <c r="C11" s="247"/>
      <c r="D11" s="247"/>
      <c r="E11" s="247"/>
      <c r="F11" s="247"/>
      <c r="G11" s="247"/>
      <c r="H11" s="247"/>
      <c r="I11" s="247"/>
      <c r="J11" s="247"/>
      <c r="K11" s="247"/>
      <c r="L11" s="247"/>
      <c r="M11" s="247"/>
      <c r="N11" s="247"/>
    </row>
    <row r="12" spans="1:64" ht="13.5" customHeight="1"/>
    <row r="13" spans="1:64" ht="319.5" customHeight="1">
      <c r="B13" s="247" t="s">
        <v>469</v>
      </c>
      <c r="C13" s="247"/>
      <c r="D13" s="247"/>
      <c r="E13" s="247"/>
      <c r="F13" s="247"/>
      <c r="G13" s="247"/>
      <c r="H13" s="247"/>
      <c r="I13" s="247"/>
      <c r="J13" s="247"/>
      <c r="K13" s="247"/>
      <c r="L13" s="247"/>
      <c r="M13" s="247"/>
      <c r="N13" s="247"/>
    </row>
    <row r="15" spans="1:64" ht="274.5" customHeight="1">
      <c r="B15" s="248" t="s">
        <v>473</v>
      </c>
      <c r="C15" s="248"/>
      <c r="D15" s="248"/>
      <c r="E15" s="248"/>
      <c r="F15" s="248"/>
      <c r="G15" s="248"/>
      <c r="H15" s="248"/>
      <c r="I15" s="248"/>
      <c r="J15" s="248"/>
      <c r="K15" s="248"/>
      <c r="L15" s="248"/>
      <c r="M15" s="248"/>
      <c r="N15" s="248"/>
    </row>
    <row r="17" spans="2:14" ht="29.25" customHeight="1">
      <c r="B17" s="249" t="s">
        <v>272</v>
      </c>
      <c r="C17" s="249"/>
      <c r="D17" s="249"/>
      <c r="E17" s="249"/>
      <c r="F17" s="249"/>
      <c r="G17" s="249"/>
      <c r="H17" s="249"/>
      <c r="I17" s="249"/>
      <c r="J17" s="249"/>
      <c r="K17" s="249"/>
      <c r="L17" s="249"/>
      <c r="M17" s="249"/>
      <c r="N17" s="249"/>
    </row>
    <row r="19" spans="2:14" ht="18.75">
      <c r="B19" s="213" t="s">
        <v>357</v>
      </c>
      <c r="C19" s="212"/>
      <c r="D19" s="212"/>
      <c r="E19" s="212"/>
      <c r="F19" s="212"/>
      <c r="G19" s="212"/>
      <c r="H19" s="212"/>
      <c r="I19" s="212"/>
      <c r="J19" s="212"/>
      <c r="K19" s="212"/>
      <c r="L19" s="212"/>
      <c r="M19" s="212"/>
      <c r="N19" s="212"/>
    </row>
    <row r="20" spans="2:14" ht="18.75">
      <c r="B20" s="210" t="s">
        <v>280</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hyperlink ref="B19:N19" r:id="rId2" display="1 http://www.etsi.org/deliver/etsi_en/301500_301599/301549/03.02.01_60/en_301549v030201p.pdf"/>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L244"/>
  <sheetViews>
    <sheetView zoomScale="70" zoomScaleNormal="70" workbookViewId="0"/>
  </sheetViews>
  <sheetFormatPr baseColWidth="10" defaultColWidth="11.5703125" defaultRowHeight="12.75"/>
  <cols>
    <col min="1" max="1" width="7.85546875" style="14" customWidth="1"/>
    <col min="2" max="2" width="16.140625" style="14" customWidth="1"/>
    <col min="3" max="3" width="71"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03" t="s">
        <v>22</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95" customHeight="1">
      <c r="B8" s="267" t="s">
        <v>322</v>
      </c>
      <c r="C8" s="267"/>
      <c r="D8" s="267"/>
      <c r="E8" s="267"/>
      <c r="F8" s="267"/>
      <c r="G8" s="267"/>
      <c r="H8" s="267"/>
      <c r="I8" s="267"/>
      <c r="J8" s="267"/>
      <c r="K8" s="267"/>
      <c r="L8" s="267"/>
      <c r="M8" s="267"/>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4" t="s">
        <v>152</v>
      </c>
      <c r="C11" s="265"/>
      <c r="D11" s="28"/>
      <c r="E11" s="14"/>
      <c r="F11" s="104" t="s">
        <v>23</v>
      </c>
      <c r="G11" s="136" t="s">
        <v>359</v>
      </c>
      <c r="H11" s="105" t="s">
        <v>24</v>
      </c>
      <c r="I11" s="23"/>
      <c r="J11" s="104" t="s">
        <v>25</v>
      </c>
      <c r="K11" s="136" t="s">
        <v>359</v>
      </c>
      <c r="L11" s="105" t="s">
        <v>24</v>
      </c>
      <c r="M11" s="19"/>
      <c r="N11" s="19"/>
      <c r="O11" s="19"/>
      <c r="P11" s="19"/>
      <c r="Q11" s="19"/>
      <c r="R11" s="19"/>
      <c r="U11" s="19"/>
      <c r="V11" s="19"/>
      <c r="W11" s="19"/>
      <c r="X11" s="19"/>
      <c r="Y11" s="19"/>
    </row>
    <row r="12" spans="1:64" ht="12" customHeight="1">
      <c r="B12" s="143" t="s">
        <v>90</v>
      </c>
      <c r="C12" s="57">
        <f>COUNTIF($B$18:$B$243,B12)</f>
        <v>6</v>
      </c>
      <c r="D12" s="28"/>
      <c r="E12" s="14"/>
      <c r="F12" s="62" t="s">
        <v>26</v>
      </c>
      <c r="G12" s="61">
        <f ca="1">J20+J58+J96+J134+J172+J210</f>
        <v>0</v>
      </c>
      <c r="H12" s="53">
        <f ca="1">IF(($G$15+$K$15)=0,0,G12/($G$15+$K$15))</f>
        <v>0</v>
      </c>
      <c r="I12" s="28"/>
      <c r="J12" s="60" t="s">
        <v>27</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f>
        <v>0</v>
      </c>
      <c r="H13" s="53">
        <f ca="1">IF(($G$15+$K$15)=0,0,G13/($G$15+$K$15))</f>
        <v>0</v>
      </c>
      <c r="I13" s="28"/>
      <c r="J13" s="60" t="s">
        <v>29</v>
      </c>
      <c r="K13" s="61">
        <f ca="1">F20+F58+F96+F134+F172+F210</f>
        <v>0</v>
      </c>
      <c r="L13" s="53">
        <f ca="1">IF(($G$15+$K$15)=0,0,K13/($G$15+$K$15))</f>
        <v>0</v>
      </c>
      <c r="M13" s="19"/>
      <c r="N13" s="19"/>
      <c r="O13" s="19"/>
      <c r="P13" s="19"/>
      <c r="Q13" s="19"/>
      <c r="R13" s="19"/>
      <c r="U13" s="19"/>
      <c r="V13" s="19"/>
      <c r="W13" s="19"/>
      <c r="X13" s="19"/>
      <c r="Y13" s="19"/>
    </row>
    <row r="14" spans="1:64" ht="12" customHeight="1" thickBot="1">
      <c r="B14" s="58" t="s">
        <v>30</v>
      </c>
      <c r="C14" s="59">
        <f>C12+C13</f>
        <v>6</v>
      </c>
      <c r="D14" s="28"/>
      <c r="E14" s="14"/>
      <c r="F14" s="62" t="s">
        <v>31</v>
      </c>
      <c r="G14" s="61">
        <f ca="1">H20+H58+H96+H134+H172+H210</f>
        <v>96</v>
      </c>
      <c r="H14" s="53">
        <f ca="1">IF(($G$15+$K$15)=0,0,G14/($G$15+$K$15))</f>
        <v>1</v>
      </c>
      <c r="I14" s="28"/>
      <c r="J14" s="231" t="s">
        <v>474</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96</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268</v>
      </c>
      <c r="B18" s="24" t="s">
        <v>90</v>
      </c>
      <c r="C18" s="25" t="s">
        <v>91</v>
      </c>
      <c r="D18" s="26" t="s">
        <v>32</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https://www.comunidad.madrid/hospital/clinicosancarlos/</v>
      </c>
      <c r="D19" s="130" t="s">
        <v>35</v>
      </c>
      <c r="E19" s="107" t="str">
        <f t="shared" ref="E19:E53" si="0">IF(D19&lt;&gt;"",IF(AND(B19&lt;&gt;"",C19&lt;&gt;""),"","ERR"),"")</f>
        <v/>
      </c>
      <c r="F19" s="115" t="s">
        <v>33</v>
      </c>
      <c r="G19" s="116" t="s">
        <v>37</v>
      </c>
      <c r="H19" s="117" t="s">
        <v>35</v>
      </c>
      <c r="I19" s="118" t="s">
        <v>28</v>
      </c>
      <c r="J19" s="119" t="s">
        <v>26</v>
      </c>
      <c r="K19" s="226" t="s">
        <v>474</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https://www.comunidad.madrid/hospital/clinicosancarlos/ciudadanos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Consultas externas</v>
      </c>
      <c r="C21" s="114" t="str" cm="1">
        <f t="array" ref="C21">IFERROR(INDEX('03.Muestra'!$F$8:$F$42,SMALL(IF("Página Web"='03.Muestra'!$D$8:$D$42,ROW('03.Muestra'!$F$8:$F$42)-MIN(ROW('03.Muestra'!$D$8:$D$42))+1,""),ROW()-18)),"")</f>
        <v>https://www.comunidad.madrid/hospital/clinicosancarlos/ciudadanos/consultas-externas</v>
      </c>
      <c r="D21" s="130" t="s">
        <v>35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Donación</v>
      </c>
      <c r="C22" s="114" t="str" cm="1">
        <f t="array" ref="C22">IFERROR(INDEX('03.Muestra'!$F$8:$F$42,SMALL(IF("Página Web"='03.Muestra'!$D$8:$D$42,ROW('03.Muestra'!$F$8:$F$42)-MIN(ROW('03.Muestra'!$D$8:$D$42))+1,""),ROW()-18)),"")</f>
        <v>https://www.comunidad.madrid/hospital/clinicosancarlos/ciudadanos/donacion-0</v>
      </c>
      <c r="D22" s="130" t="s">
        <v>35</v>
      </c>
      <c r="E22" s="107" t="str">
        <f t="shared" si="0"/>
        <v/>
      </c>
      <c r="G22" s="19"/>
      <c r="H22" s="19"/>
      <c r="I22" s="19"/>
      <c r="J22" s="19"/>
      <c r="K22" s="214" t="s">
        <v>33</v>
      </c>
      <c r="L22" s="121" t="s">
        <v>34</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https://www.comunidad.madrid/hospital/clinicosancarlos/profesionales</v>
      </c>
      <c r="D23" s="130" t="s">
        <v>35</v>
      </c>
      <c r="E23" s="107" t="str">
        <f t="shared" si="0"/>
        <v/>
      </c>
      <c r="G23" s="19"/>
      <c r="H23" s="19"/>
      <c r="I23" s="19"/>
      <c r="J23" s="19"/>
      <c r="K23" s="117" t="s">
        <v>35</v>
      </c>
      <c r="L23" s="121" t="s">
        <v>36</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Docencia</v>
      </c>
      <c r="C24" s="114" t="str" cm="1">
        <f t="array" ref="C24">IFERROR(INDEX('03.Muestra'!$F$8:$F$42,SMALL(IF("Página Web"='03.Muestra'!$D$8:$D$42,ROW('03.Muestra'!$F$8:$F$42)-MIN(ROW('03.Muestra'!$D$8:$D$42))+1,""),ROW()-18)),"")</f>
        <v>https://www.comunidad.madrid/hospital/clinicosancarlos/profesionales/docencia</v>
      </c>
      <c r="D24" s="130" t="s">
        <v>35</v>
      </c>
      <c r="E24" s="107" t="str">
        <f t="shared" si="0"/>
        <v/>
      </c>
      <c r="G24" s="19"/>
      <c r="H24" s="19"/>
      <c r="I24" s="19"/>
      <c r="J24" s="19"/>
      <c r="K24" s="116" t="s">
        <v>37</v>
      </c>
      <c r="L24" s="121" t="s">
        <v>38</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Referencia</v>
      </c>
      <c r="C25" s="114" t="str" cm="1">
        <f t="array" ref="C25">IFERROR(INDEX('03.Muestra'!$F$8:$F$42,SMALL(IF("Página Web"='03.Muestra'!$D$8:$D$42,ROW('03.Muestra'!$F$8:$F$42)-MIN(ROW('03.Muestra'!$D$8:$D$42))+1,""),ROW()-18)),"")</f>
        <v>https://www.comunidad.madrid/hospital/clinicosancarlos/profesionales/unidades-referencia-nacional-redes-europeas</v>
      </c>
      <c r="D25" s="130" t="s">
        <v>35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Comunicación</v>
      </c>
      <c r="C26" s="114" t="str" cm="1">
        <f t="array" ref="C26">IFERROR(INDEX('03.Muestra'!$F$8:$F$42,SMALL(IF("Página Web"='03.Muestra'!$D$8:$D$42,ROW('03.Muestra'!$F$8:$F$42)-MIN(ROW('03.Muestra'!$D$8:$D$42))+1,""),ROW()-18)),"")</f>
        <v>https://www.comunidad.madrid/hospital/clinicosancarlos/comunicacion</v>
      </c>
      <c r="D26" s="130" t="s">
        <v>35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Videoteca</v>
      </c>
      <c r="C27" s="114" t="str" cm="1">
        <f t="array" ref="C27">IFERROR(INDEX('03.Muestra'!$F$8:$F$42,SMALL(IF("Página Web"='03.Muestra'!$D$8:$D$42,ROW('03.Muestra'!$F$8:$F$42)-MIN(ROW('03.Muestra'!$D$8:$D$42))+1,""),ROW()-18)),"")</f>
        <v>https://www.comunidad.madrid/hospital/clinicosancarlos/comunicacion/videoteca</v>
      </c>
      <c r="D27" s="130" t="s">
        <v>35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Noticias</v>
      </c>
      <c r="C28" s="114" t="str" cm="1">
        <f t="array" ref="C28">IFERROR(INDEX('03.Muestra'!$F$8:$F$42,SMALL(IF("Página Web"='03.Muestra'!$D$8:$D$42,ROW('03.Muestra'!$F$8:$F$42)-MIN(ROW('03.Muestra'!$D$8:$D$42))+1,""),ROW()-18)),"")</f>
        <v>https://www.comunidad.madrid/hospital/clinicosancarlos/comunicacion/noticias</v>
      </c>
      <c r="D28" s="130" t="s">
        <v>35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Nosotros</v>
      </c>
      <c r="C29" s="114" t="str" cm="1">
        <f t="array" ref="C29">IFERROR(INDEX('03.Muestra'!$F$8:$F$42,SMALL(IF("Página Web"='03.Muestra'!$D$8:$D$42,ROW('03.Muestra'!$F$8:$F$42)-MIN(ROW('03.Muestra'!$D$8:$D$42))+1,""),ROW()-18)),"")</f>
        <v>https://www.comunidad.madrid/hospital/clinicosancarlos/nosotros</v>
      </c>
      <c r="D29" s="130" t="s">
        <v>35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Gestión Ambiental</v>
      </c>
      <c r="C30" s="114" t="str" cm="1">
        <f t="array" ref="C30">IFERROR(INDEX('03.Muestra'!$F$8:$F$42,SMALL(IF("Página Web"='03.Muestra'!$D$8:$D$42,ROW('03.Muestra'!$F$8:$F$42)-MIN(ROW('03.Muestra'!$D$8:$D$42))+1,""),ROW()-18)),"")</f>
        <v>https://www.comunidad.madrid/hospital/clinicosancarlos/nosotros/gestion-ambiental</v>
      </c>
      <c r="D30" s="130" t="s">
        <v>35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Proveedores</v>
      </c>
      <c r="C31" s="114" t="str" cm="1">
        <f t="array" ref="C31">IFERROR(INDEX('03.Muestra'!$F$8:$F$42,SMALL(IF("Página Web"='03.Muestra'!$D$8:$D$42,ROW('03.Muestra'!$F$8:$F$42)-MIN(ROW('03.Muestra'!$D$8:$D$42))+1,""),ROW()-18)),"")</f>
        <v>https://www.comunidad.madrid/hospital/clinicosancarlos/nosotros/proveedores-0</v>
      </c>
      <c r="D31" s="130" t="s">
        <v>35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Aviso legal</v>
      </c>
      <c r="C32" s="114" t="str" cm="1">
        <f t="array" ref="C32">IFERROR(INDEX('03.Muestra'!$F$8:$F$42,SMALL(IF("Página Web"='03.Muestra'!$D$8:$D$42,ROW('03.Muestra'!$F$8:$F$42)-MIN(ROW('03.Muestra'!$D$8:$D$42))+1,""),ROW()-18)),"")</f>
        <v>https://www.comunidad.madrid/hospital/clinicosancarlos/aviso-legal-privacidad</v>
      </c>
      <c r="D32" s="130" t="s">
        <v>35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Mapa web</v>
      </c>
      <c r="C33" s="114" t="str" cm="1">
        <f t="array" ref="C33">IFERROR(INDEX('03.Muestra'!$F$8:$F$42,SMALL(IF("Página Web"='03.Muestra'!$D$8:$D$42,ROW('03.Muestra'!$F$8:$F$42)-MIN(ROW('03.Muestra'!$D$8:$D$42))+1,""),ROW()-18)),"")</f>
        <v>https://www.comunidad.madrid/hospital/clinicosancarlos/sitemap</v>
      </c>
      <c r="D33" s="130" t="s">
        <v>35</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Accesibilidad</v>
      </c>
      <c r="C34" s="114" t="str" cm="1">
        <f t="array" ref="C34">IFERROR(INDEX('03.Muestra'!$F$8:$F$42,SMALL(IF("Página Web"='03.Muestra'!$D$8:$D$42,ROW('03.Muestra'!$F$8:$F$42)-MIN(ROW('03.Muestra'!$D$8:$D$42))+1,""),ROW()-18)),"")</f>
        <v>https://www.comunidad.madrid/hospital/clinicosancarlos/declaracion-accesibilidad</v>
      </c>
      <c r="D34" s="130" t="s">
        <v>35</v>
      </c>
      <c r="E34" s="107" t="str">
        <f t="shared" si="0"/>
        <v/>
      </c>
      <c r="F34" s="19"/>
      <c r="G34" s="19"/>
      <c r="H34" s="19"/>
      <c r="I34" s="19"/>
      <c r="J34" s="19"/>
      <c r="K34" s="19"/>
    </row>
    <row r="35" spans="1:11"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row>
    <row r="36" spans="1:11"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row>
    <row r="37" spans="1:11"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row>
    <row r="38" spans="1:11"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268</v>
      </c>
      <c r="B56" s="24" t="s">
        <v>90</v>
      </c>
      <c r="C56" s="25" t="s">
        <v>262</v>
      </c>
      <c r="D56" s="26" t="s">
        <v>32</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https://www.comunidad.madrid/hospital/clinicosancarlos/</v>
      </c>
      <c r="D57" s="130" t="s">
        <v>35</v>
      </c>
      <c r="E57" s="107" t="str">
        <f t="shared" ref="E57:E91" si="2">IF(D57&lt;&gt;"",IF(AND(B57&lt;&gt;"",C57&lt;&gt;""),"","ERR"),"")</f>
        <v/>
      </c>
      <c r="F57" s="115" t="s">
        <v>33</v>
      </c>
      <c r="G57" s="116" t="s">
        <v>37</v>
      </c>
      <c r="H57" s="117" t="s">
        <v>35</v>
      </c>
      <c r="I57" s="118" t="s">
        <v>28</v>
      </c>
      <c r="J57" s="119" t="s">
        <v>26</v>
      </c>
      <c r="K57" s="226" t="s">
        <v>474</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https://www.comunidad.madrid/hospital/clinicosancarlos/ciudadanos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Consultas externas</v>
      </c>
      <c r="C59" s="114" t="str" cm="1">
        <f t="array" ref="C59">IFERROR(INDEX('03.Muestra'!$F$8:$F$42,SMALL(IF("Página Web"='03.Muestra'!$D$8:$D$42,ROW('03.Muestra'!$F$8:$F$42)-MIN(ROW('03.Muestra'!$D$8:$D$42))+1,""),ROW()-56)),"")</f>
        <v>https://www.comunidad.madrid/hospital/clinicosancarlos/ciudadanos/consultas-externas</v>
      </c>
      <c r="D59" s="130" t="s">
        <v>35</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Donación</v>
      </c>
      <c r="C60" s="114" t="str" cm="1">
        <f t="array" ref="C60">IFERROR(INDEX('03.Muestra'!$F$8:$F$42,SMALL(IF("Página Web"='03.Muestra'!$D$8:$D$42,ROW('03.Muestra'!$F$8:$F$42)-MIN(ROW('03.Muestra'!$D$8:$D$42))+1,""),ROW()-56)),"")</f>
        <v>https://www.comunidad.madrid/hospital/clinicosancarlos/ciudadanos/donacion-0</v>
      </c>
      <c r="D60" s="130" t="s">
        <v>35</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https://www.comunidad.madrid/hospital/clinicosancarlos/profesionales</v>
      </c>
      <c r="D61" s="130" t="s">
        <v>35</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Docencia</v>
      </c>
      <c r="C62" s="114" t="str" cm="1">
        <f t="array" ref="C62">IFERROR(INDEX('03.Muestra'!$F$8:$F$42,SMALL(IF("Página Web"='03.Muestra'!$D$8:$D$42,ROW('03.Muestra'!$F$8:$F$42)-MIN(ROW('03.Muestra'!$D$8:$D$42))+1,""),ROW()-56)),"")</f>
        <v>https://www.comunidad.madrid/hospital/clinicosancarlos/profesionales/docencia</v>
      </c>
      <c r="D62" s="130" t="s">
        <v>35</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Referencia</v>
      </c>
      <c r="C63" s="114" t="str" cm="1">
        <f t="array" ref="C63">IFERROR(INDEX('03.Muestra'!$F$8:$F$42,SMALL(IF("Página Web"='03.Muestra'!$D$8:$D$42,ROW('03.Muestra'!$F$8:$F$42)-MIN(ROW('03.Muestra'!$D$8:$D$42))+1,""),ROW()-56)),"")</f>
        <v>https://www.comunidad.madrid/hospital/clinicosancarlos/profesionales/unidades-referencia-nacional-redes-europeas</v>
      </c>
      <c r="D63" s="130" t="s">
        <v>35</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Comunicación</v>
      </c>
      <c r="C64" s="114" t="str" cm="1">
        <f t="array" ref="C64">IFERROR(INDEX('03.Muestra'!$F$8:$F$42,SMALL(IF("Página Web"='03.Muestra'!$D$8:$D$42,ROW('03.Muestra'!$F$8:$F$42)-MIN(ROW('03.Muestra'!$D$8:$D$42))+1,""),ROW()-56)),"")</f>
        <v>https://www.comunidad.madrid/hospital/clinicosancarlos/comunicacion</v>
      </c>
      <c r="D64" s="130" t="s">
        <v>35</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Videoteca</v>
      </c>
      <c r="C65" s="114" t="str" cm="1">
        <f t="array" ref="C65">IFERROR(INDEX('03.Muestra'!$F$8:$F$42,SMALL(IF("Página Web"='03.Muestra'!$D$8:$D$42,ROW('03.Muestra'!$F$8:$F$42)-MIN(ROW('03.Muestra'!$D$8:$D$42))+1,""),ROW()-56)),"")</f>
        <v>https://www.comunidad.madrid/hospital/clinicosancarlos/comunicacion/videoteca</v>
      </c>
      <c r="D65" s="130" t="s">
        <v>35</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Noticias</v>
      </c>
      <c r="C66" s="114" t="str" cm="1">
        <f t="array" ref="C66">IFERROR(INDEX('03.Muestra'!$F$8:$F$42,SMALL(IF("Página Web"='03.Muestra'!$D$8:$D$42,ROW('03.Muestra'!$F$8:$F$42)-MIN(ROW('03.Muestra'!$D$8:$D$42))+1,""),ROW()-56)),"")</f>
        <v>https://www.comunidad.madrid/hospital/clinicosancarlos/comunicacion/noticias</v>
      </c>
      <c r="D66" s="130" t="s">
        <v>35</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Nosotros</v>
      </c>
      <c r="C67" s="114" t="str" cm="1">
        <f t="array" ref="C67">IFERROR(INDEX('03.Muestra'!$F$8:$F$42,SMALL(IF("Página Web"='03.Muestra'!$D$8:$D$42,ROW('03.Muestra'!$F$8:$F$42)-MIN(ROW('03.Muestra'!$D$8:$D$42))+1,""),ROW()-56)),"")</f>
        <v>https://www.comunidad.madrid/hospital/clinicosancarlos/nosotros</v>
      </c>
      <c r="D67" s="130" t="s">
        <v>35</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Gestión Ambiental</v>
      </c>
      <c r="C68" s="114" t="str" cm="1">
        <f t="array" ref="C68">IFERROR(INDEX('03.Muestra'!$F$8:$F$42,SMALL(IF("Página Web"='03.Muestra'!$D$8:$D$42,ROW('03.Muestra'!$F$8:$F$42)-MIN(ROW('03.Muestra'!$D$8:$D$42))+1,""),ROW()-56)),"")</f>
        <v>https://www.comunidad.madrid/hospital/clinicosancarlos/nosotros/gestion-ambiental</v>
      </c>
      <c r="D68" s="130" t="s">
        <v>35</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Proveedores</v>
      </c>
      <c r="C69" s="114" t="str" cm="1">
        <f t="array" ref="C69">IFERROR(INDEX('03.Muestra'!$F$8:$F$42,SMALL(IF("Página Web"='03.Muestra'!$D$8:$D$42,ROW('03.Muestra'!$F$8:$F$42)-MIN(ROW('03.Muestra'!$D$8:$D$42))+1,""),ROW()-56)),"")</f>
        <v>https://www.comunidad.madrid/hospital/clinicosancarlos/nosotros/proveedores-0</v>
      </c>
      <c r="D69" s="130" t="s">
        <v>35</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Aviso legal</v>
      </c>
      <c r="C70" s="114" t="str" cm="1">
        <f t="array" ref="C70">IFERROR(INDEX('03.Muestra'!$F$8:$F$42,SMALL(IF("Página Web"='03.Muestra'!$D$8:$D$42,ROW('03.Muestra'!$F$8:$F$42)-MIN(ROW('03.Muestra'!$D$8:$D$42))+1,""),ROW()-56)),"")</f>
        <v>https://www.comunidad.madrid/hospital/clinicosancarlos/aviso-legal-privacidad</v>
      </c>
      <c r="D70" s="130" t="s">
        <v>35</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Mapa web</v>
      </c>
      <c r="C71" s="114" t="str" cm="1">
        <f t="array" ref="C71">IFERROR(INDEX('03.Muestra'!$F$8:$F$42,SMALL(IF("Página Web"='03.Muestra'!$D$8:$D$42,ROW('03.Muestra'!$F$8:$F$42)-MIN(ROW('03.Muestra'!$D$8:$D$42))+1,""),ROW()-56)),"")</f>
        <v>https://www.comunidad.madrid/hospital/clinicosancarlos/sitemap</v>
      </c>
      <c r="D71" s="130" t="s">
        <v>35</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Accesibilidad</v>
      </c>
      <c r="C72" s="114" t="str" cm="1">
        <f t="array" ref="C72">IFERROR(INDEX('03.Muestra'!$F$8:$F$42,SMALL(IF("Página Web"='03.Muestra'!$D$8:$D$42,ROW('03.Muestra'!$F$8:$F$42)-MIN(ROW('03.Muestra'!$D$8:$D$42))+1,""),ROW()-56)),"")</f>
        <v>https://www.comunidad.madrid/hospital/clinicosancarlos/declaracion-accesibilidad</v>
      </c>
      <c r="D72" s="130" t="s">
        <v>35</v>
      </c>
      <c r="E72" s="107" t="str">
        <f t="shared" si="2"/>
        <v/>
      </c>
      <c r="F72" s="19"/>
      <c r="G72" s="19"/>
      <c r="H72" s="19"/>
      <c r="I72" s="19"/>
      <c r="J72" s="19"/>
      <c r="K72" s="233"/>
    </row>
    <row r="73" spans="1:11"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row>
    <row r="74" spans="1:11"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row>
    <row r="75" spans="1:11"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row>
    <row r="76" spans="1:11"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268</v>
      </c>
      <c r="B94" s="24" t="s">
        <v>90</v>
      </c>
      <c r="C94" s="25" t="s">
        <v>263</v>
      </c>
      <c r="D94" s="26" t="s">
        <v>32</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https://www.comunidad.madrid/hospital/clinicosancarlos/</v>
      </c>
      <c r="D95" s="130" t="s">
        <v>35</v>
      </c>
      <c r="E95" s="107" t="str">
        <f t="shared" ref="E95:E129" si="4">IF(D95&lt;&gt;"",IF(AND(B95&lt;&gt;"",C95&lt;&gt;""),"","ERR"),"")</f>
        <v/>
      </c>
      <c r="F95" s="115" t="s">
        <v>33</v>
      </c>
      <c r="G95" s="116" t="s">
        <v>37</v>
      </c>
      <c r="H95" s="117" t="s">
        <v>35</v>
      </c>
      <c r="I95" s="118" t="s">
        <v>28</v>
      </c>
      <c r="J95" s="119" t="s">
        <v>26</v>
      </c>
      <c r="K95" s="226" t="s">
        <v>474</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https://www.comunidad.madrid/hospital/clinicosancarlos/ciudadanos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Consultas externas</v>
      </c>
      <c r="C97" s="114" t="str" cm="1">
        <f t="array" ref="C97">IFERROR(INDEX('03.Muestra'!$F$8:$F$42,SMALL(IF("Página Web"='03.Muestra'!$D$8:$D$42,ROW('03.Muestra'!$F$8:$F$42)-MIN(ROW('03.Muestra'!$D$8:$D$42))+1,""),ROW()-94)),"")</f>
        <v>https://www.comunidad.madrid/hospital/clinicosancarlos/ciudadanos/consultas-externas</v>
      </c>
      <c r="D97" s="130" t="s">
        <v>35</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Donación</v>
      </c>
      <c r="C98" s="114" t="str" cm="1">
        <f t="array" ref="C98">IFERROR(INDEX('03.Muestra'!$F$8:$F$42,SMALL(IF("Página Web"='03.Muestra'!$D$8:$D$42,ROW('03.Muestra'!$F$8:$F$42)-MIN(ROW('03.Muestra'!$D$8:$D$42))+1,""),ROW()-94)),"")</f>
        <v>https://www.comunidad.madrid/hospital/clinicosancarlos/ciudadanos/donacion-0</v>
      </c>
      <c r="D98" s="130" t="s">
        <v>35</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https://www.comunidad.madrid/hospital/clinicosancarlos/profesionales</v>
      </c>
      <c r="D99" s="130" t="s">
        <v>35</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Docencia</v>
      </c>
      <c r="C100" s="114" t="str" cm="1">
        <f t="array" ref="C100">IFERROR(INDEX('03.Muestra'!$F$8:$F$42,SMALL(IF("Página Web"='03.Muestra'!$D$8:$D$42,ROW('03.Muestra'!$F$8:$F$42)-MIN(ROW('03.Muestra'!$D$8:$D$42))+1,""),ROW()-94)),"")</f>
        <v>https://www.comunidad.madrid/hospital/clinicosancarlos/profesionales/docencia</v>
      </c>
      <c r="D100" s="130" t="s">
        <v>35</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Referencia</v>
      </c>
      <c r="C101" s="114" t="str" cm="1">
        <f t="array" ref="C101">IFERROR(INDEX('03.Muestra'!$F$8:$F$42,SMALL(IF("Página Web"='03.Muestra'!$D$8:$D$42,ROW('03.Muestra'!$F$8:$F$42)-MIN(ROW('03.Muestra'!$D$8:$D$42))+1,""),ROW()-94)),"")</f>
        <v>https://www.comunidad.madrid/hospital/clinicosancarlos/profesionales/unidades-referencia-nacional-redes-europeas</v>
      </c>
      <c r="D101" s="130" t="s">
        <v>35</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Comunicación</v>
      </c>
      <c r="C102" s="114" t="str" cm="1">
        <f t="array" ref="C102">IFERROR(INDEX('03.Muestra'!$F$8:$F$42,SMALL(IF("Página Web"='03.Muestra'!$D$8:$D$42,ROW('03.Muestra'!$F$8:$F$42)-MIN(ROW('03.Muestra'!$D$8:$D$42))+1,""),ROW()-94)),"")</f>
        <v>https://www.comunidad.madrid/hospital/clinicosancarlos/comunicacion</v>
      </c>
      <c r="D102" s="130" t="s">
        <v>35</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Videoteca</v>
      </c>
      <c r="C103" s="114" t="str" cm="1">
        <f t="array" ref="C103">IFERROR(INDEX('03.Muestra'!$F$8:$F$42,SMALL(IF("Página Web"='03.Muestra'!$D$8:$D$42,ROW('03.Muestra'!$F$8:$F$42)-MIN(ROW('03.Muestra'!$D$8:$D$42))+1,""),ROW()-94)),"")</f>
        <v>https://www.comunidad.madrid/hospital/clinicosancarlos/comunicacion/videoteca</v>
      </c>
      <c r="D103" s="130" t="s">
        <v>35</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Noticias</v>
      </c>
      <c r="C104" s="114" t="str" cm="1">
        <f t="array" ref="C104">IFERROR(INDEX('03.Muestra'!$F$8:$F$42,SMALL(IF("Página Web"='03.Muestra'!$D$8:$D$42,ROW('03.Muestra'!$F$8:$F$42)-MIN(ROW('03.Muestra'!$D$8:$D$42))+1,""),ROW()-94)),"")</f>
        <v>https://www.comunidad.madrid/hospital/clinicosancarlos/comunicacion/noticias</v>
      </c>
      <c r="D104" s="130" t="s">
        <v>35</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Nosotros</v>
      </c>
      <c r="C105" s="114" t="str" cm="1">
        <f t="array" ref="C105">IFERROR(INDEX('03.Muestra'!$F$8:$F$42,SMALL(IF("Página Web"='03.Muestra'!$D$8:$D$42,ROW('03.Muestra'!$F$8:$F$42)-MIN(ROW('03.Muestra'!$D$8:$D$42))+1,""),ROW()-94)),"")</f>
        <v>https://www.comunidad.madrid/hospital/clinicosancarlos/nosotros</v>
      </c>
      <c r="D105" s="130" t="s">
        <v>35</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Gestión Ambiental</v>
      </c>
      <c r="C106" s="114" t="str" cm="1">
        <f t="array" ref="C106">IFERROR(INDEX('03.Muestra'!$F$8:$F$42,SMALL(IF("Página Web"='03.Muestra'!$D$8:$D$42,ROW('03.Muestra'!$F$8:$F$42)-MIN(ROW('03.Muestra'!$D$8:$D$42))+1,""),ROW()-94)),"")</f>
        <v>https://www.comunidad.madrid/hospital/clinicosancarlos/nosotros/gestion-ambiental</v>
      </c>
      <c r="D106" s="130" t="s">
        <v>35</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Proveedores</v>
      </c>
      <c r="C107" s="114" t="str" cm="1">
        <f t="array" ref="C107">IFERROR(INDEX('03.Muestra'!$F$8:$F$42,SMALL(IF("Página Web"='03.Muestra'!$D$8:$D$42,ROW('03.Muestra'!$F$8:$F$42)-MIN(ROW('03.Muestra'!$D$8:$D$42))+1,""),ROW()-94)),"")</f>
        <v>https://www.comunidad.madrid/hospital/clinicosancarlos/nosotros/proveedores-0</v>
      </c>
      <c r="D107" s="130" t="s">
        <v>35</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Aviso legal</v>
      </c>
      <c r="C108" s="114" t="str" cm="1">
        <f t="array" ref="C108">IFERROR(INDEX('03.Muestra'!$F$8:$F$42,SMALL(IF("Página Web"='03.Muestra'!$D$8:$D$42,ROW('03.Muestra'!$F$8:$F$42)-MIN(ROW('03.Muestra'!$D$8:$D$42))+1,""),ROW()-94)),"")</f>
        <v>https://www.comunidad.madrid/hospital/clinicosancarlos/aviso-legal-privacidad</v>
      </c>
      <c r="D108" s="130" t="s">
        <v>35</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Mapa web</v>
      </c>
      <c r="C109" s="114" t="str" cm="1">
        <f t="array" ref="C109">IFERROR(INDEX('03.Muestra'!$F$8:$F$42,SMALL(IF("Página Web"='03.Muestra'!$D$8:$D$42,ROW('03.Muestra'!$F$8:$F$42)-MIN(ROW('03.Muestra'!$D$8:$D$42))+1,""),ROW()-94)),"")</f>
        <v>https://www.comunidad.madrid/hospital/clinicosancarlos/sitemap</v>
      </c>
      <c r="D109" s="130" t="s">
        <v>35</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Accesibilidad</v>
      </c>
      <c r="C110" s="114" t="str" cm="1">
        <f t="array" ref="C110">IFERROR(INDEX('03.Muestra'!$F$8:$F$42,SMALL(IF("Página Web"='03.Muestra'!$D$8:$D$42,ROW('03.Muestra'!$F$8:$F$42)-MIN(ROW('03.Muestra'!$D$8:$D$42))+1,""),ROW()-94)),"")</f>
        <v>https://www.comunidad.madrid/hospital/clinicosancarlos/declaracion-accesibilidad</v>
      </c>
      <c r="D110" s="130" t="s">
        <v>35</v>
      </c>
      <c r="E110" s="107" t="str">
        <f t="shared" si="4"/>
        <v/>
      </c>
      <c r="F110" s="19"/>
      <c r="G110" s="19"/>
      <c r="H110" s="19"/>
      <c r="I110" s="19"/>
      <c r="J110" s="19"/>
      <c r="K110" s="233"/>
    </row>
    <row r="111" spans="1:11"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33"/>
    </row>
    <row r="112" spans="1:11"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row>
    <row r="113" spans="1:11"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row>
    <row r="114" spans="1:11"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268</v>
      </c>
      <c r="B132" s="24" t="s">
        <v>90</v>
      </c>
      <c r="C132" s="25" t="s">
        <v>264</v>
      </c>
      <c r="D132" s="26" t="s">
        <v>32</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https://www.comunidad.madrid/hospital/clinicosancarlos/</v>
      </c>
      <c r="D133" s="130" t="s">
        <v>35</v>
      </c>
      <c r="E133" s="107" t="str">
        <f t="shared" ref="E133:E167" si="6">IF(D133&lt;&gt;"",IF(AND(B133&lt;&gt;"",C133&lt;&gt;""),"","ERR"),"")</f>
        <v/>
      </c>
      <c r="F133" s="115" t="s">
        <v>33</v>
      </c>
      <c r="G133" s="116" t="s">
        <v>37</v>
      </c>
      <c r="H133" s="117" t="s">
        <v>35</v>
      </c>
      <c r="I133" s="118" t="s">
        <v>28</v>
      </c>
      <c r="J133" s="119" t="s">
        <v>26</v>
      </c>
      <c r="K133" s="226" t="s">
        <v>474</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https://www.comunidad.madrid/hospital/clinicosancarlos/ciudadanos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Consultas externas</v>
      </c>
      <c r="C135" s="114" t="str" cm="1">
        <f t="array" ref="C135">IFERROR(INDEX('03.Muestra'!$F$8:$F$42,SMALL(IF("Página Web"='03.Muestra'!$D$8:$D$42,ROW('03.Muestra'!$F$8:$F$42)-MIN(ROW('03.Muestra'!$D$8:$D$42))+1,""),ROW()-132)),"")</f>
        <v>https://www.comunidad.madrid/hospital/clinicosancarlos/ciudadanos/consultas-externas</v>
      </c>
      <c r="D135" s="130" t="s">
        <v>35</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Donación</v>
      </c>
      <c r="C136" s="114" t="str" cm="1">
        <f t="array" ref="C136">IFERROR(INDEX('03.Muestra'!$F$8:$F$42,SMALL(IF("Página Web"='03.Muestra'!$D$8:$D$42,ROW('03.Muestra'!$F$8:$F$42)-MIN(ROW('03.Muestra'!$D$8:$D$42))+1,""),ROW()-132)),"")</f>
        <v>https://www.comunidad.madrid/hospital/clinicosancarlos/ciudadanos/donacion-0</v>
      </c>
      <c r="D136" s="130" t="s">
        <v>35</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https://www.comunidad.madrid/hospital/clinicosancarlos/profesionales</v>
      </c>
      <c r="D137" s="130" t="s">
        <v>35</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Docencia</v>
      </c>
      <c r="C138" s="114" t="str" cm="1">
        <f t="array" ref="C138">IFERROR(INDEX('03.Muestra'!$F$8:$F$42,SMALL(IF("Página Web"='03.Muestra'!$D$8:$D$42,ROW('03.Muestra'!$F$8:$F$42)-MIN(ROW('03.Muestra'!$D$8:$D$42))+1,""),ROW()-132)),"")</f>
        <v>https://www.comunidad.madrid/hospital/clinicosancarlos/profesionales/docencia</v>
      </c>
      <c r="D138" s="130" t="s">
        <v>35</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Referencia</v>
      </c>
      <c r="C139" s="114" t="str" cm="1">
        <f t="array" ref="C139">IFERROR(INDEX('03.Muestra'!$F$8:$F$42,SMALL(IF("Página Web"='03.Muestra'!$D$8:$D$42,ROW('03.Muestra'!$F$8:$F$42)-MIN(ROW('03.Muestra'!$D$8:$D$42))+1,""),ROW()-132)),"")</f>
        <v>https://www.comunidad.madrid/hospital/clinicosancarlos/profesionales/unidades-referencia-nacional-redes-europeas</v>
      </c>
      <c r="D139" s="130" t="s">
        <v>35</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Comunicación</v>
      </c>
      <c r="C140" s="114" t="str" cm="1">
        <f t="array" ref="C140">IFERROR(INDEX('03.Muestra'!$F$8:$F$42,SMALL(IF("Página Web"='03.Muestra'!$D$8:$D$42,ROW('03.Muestra'!$F$8:$F$42)-MIN(ROW('03.Muestra'!$D$8:$D$42))+1,""),ROW()-132)),"")</f>
        <v>https://www.comunidad.madrid/hospital/clinicosancarlos/comunicacion</v>
      </c>
      <c r="D140" s="130" t="s">
        <v>35</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Videoteca</v>
      </c>
      <c r="C141" s="114" t="str" cm="1">
        <f t="array" ref="C141">IFERROR(INDEX('03.Muestra'!$F$8:$F$42,SMALL(IF("Página Web"='03.Muestra'!$D$8:$D$42,ROW('03.Muestra'!$F$8:$F$42)-MIN(ROW('03.Muestra'!$D$8:$D$42))+1,""),ROW()-132)),"")</f>
        <v>https://www.comunidad.madrid/hospital/clinicosancarlos/comunicacion/videoteca</v>
      </c>
      <c r="D141" s="130" t="s">
        <v>35</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Noticias</v>
      </c>
      <c r="C142" s="114" t="str" cm="1">
        <f t="array" ref="C142">IFERROR(INDEX('03.Muestra'!$F$8:$F$42,SMALL(IF("Página Web"='03.Muestra'!$D$8:$D$42,ROW('03.Muestra'!$F$8:$F$42)-MIN(ROW('03.Muestra'!$D$8:$D$42))+1,""),ROW()-132)),"")</f>
        <v>https://www.comunidad.madrid/hospital/clinicosancarlos/comunicacion/noticias</v>
      </c>
      <c r="D142" s="130" t="s">
        <v>35</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Nosotros</v>
      </c>
      <c r="C143" s="114" t="str" cm="1">
        <f t="array" ref="C143">IFERROR(INDEX('03.Muestra'!$F$8:$F$42,SMALL(IF("Página Web"='03.Muestra'!$D$8:$D$42,ROW('03.Muestra'!$F$8:$F$42)-MIN(ROW('03.Muestra'!$D$8:$D$42))+1,""),ROW()-132)),"")</f>
        <v>https://www.comunidad.madrid/hospital/clinicosancarlos/nosotros</v>
      </c>
      <c r="D143" s="130" t="s">
        <v>35</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Gestión Ambiental</v>
      </c>
      <c r="C144" s="114" t="str" cm="1">
        <f t="array" ref="C144">IFERROR(INDEX('03.Muestra'!$F$8:$F$42,SMALL(IF("Página Web"='03.Muestra'!$D$8:$D$42,ROW('03.Muestra'!$F$8:$F$42)-MIN(ROW('03.Muestra'!$D$8:$D$42))+1,""),ROW()-132)),"")</f>
        <v>https://www.comunidad.madrid/hospital/clinicosancarlos/nosotros/gestion-ambiental</v>
      </c>
      <c r="D144" s="130" t="s">
        <v>35</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Proveedores</v>
      </c>
      <c r="C145" s="114" t="str" cm="1">
        <f t="array" ref="C145">IFERROR(INDEX('03.Muestra'!$F$8:$F$42,SMALL(IF("Página Web"='03.Muestra'!$D$8:$D$42,ROW('03.Muestra'!$F$8:$F$42)-MIN(ROW('03.Muestra'!$D$8:$D$42))+1,""),ROW()-132)),"")</f>
        <v>https://www.comunidad.madrid/hospital/clinicosancarlos/nosotros/proveedores-0</v>
      </c>
      <c r="D145" s="130" t="s">
        <v>35</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Aviso legal</v>
      </c>
      <c r="C146" s="114" t="str" cm="1">
        <f t="array" ref="C146">IFERROR(INDEX('03.Muestra'!$F$8:$F$42,SMALL(IF("Página Web"='03.Muestra'!$D$8:$D$42,ROW('03.Muestra'!$F$8:$F$42)-MIN(ROW('03.Muestra'!$D$8:$D$42))+1,""),ROW()-132)),"")</f>
        <v>https://www.comunidad.madrid/hospital/clinicosancarlos/aviso-legal-privacidad</v>
      </c>
      <c r="D146" s="130" t="s">
        <v>35</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Mapa web</v>
      </c>
      <c r="C147" s="114" t="str" cm="1">
        <f t="array" ref="C147">IFERROR(INDEX('03.Muestra'!$F$8:$F$42,SMALL(IF("Página Web"='03.Muestra'!$D$8:$D$42,ROW('03.Muestra'!$F$8:$F$42)-MIN(ROW('03.Muestra'!$D$8:$D$42))+1,""),ROW()-132)),"")</f>
        <v>https://www.comunidad.madrid/hospital/clinicosancarlos/sitemap</v>
      </c>
      <c r="D147" s="130" t="s">
        <v>35</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Accesibilidad</v>
      </c>
      <c r="C148" s="114" t="str" cm="1">
        <f t="array" ref="C148">IFERROR(INDEX('03.Muestra'!$F$8:$F$42,SMALL(IF("Página Web"='03.Muestra'!$D$8:$D$42,ROW('03.Muestra'!$F$8:$F$42)-MIN(ROW('03.Muestra'!$D$8:$D$42))+1,""),ROW()-132)),"")</f>
        <v>https://www.comunidad.madrid/hospital/clinicosancarlos/declaracion-accesibilidad</v>
      </c>
      <c r="D148" s="130" t="s">
        <v>35</v>
      </c>
      <c r="E148" s="107" t="str">
        <f t="shared" si="6"/>
        <v/>
      </c>
      <c r="F148" s="19"/>
      <c r="G148" s="19"/>
      <c r="H148" s="19"/>
      <c r="I148" s="19"/>
      <c r="J148" s="19"/>
      <c r="K148" s="233"/>
    </row>
    <row r="149" spans="1:11"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row>
    <row r="150" spans="1:11"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row>
    <row r="151" spans="1:11"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row>
    <row r="152" spans="1:11"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268</v>
      </c>
      <c r="B170" s="24" t="s">
        <v>90</v>
      </c>
      <c r="C170" s="25" t="s">
        <v>265</v>
      </c>
      <c r="D170" s="26" t="s">
        <v>32</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https://www.comunidad.madrid/hospital/clinicosancarlos/</v>
      </c>
      <c r="D171" s="130" t="s">
        <v>35</v>
      </c>
      <c r="E171" s="107" t="str">
        <f t="shared" ref="E171:E205" si="8">IF(D171&lt;&gt;"",IF(AND(B171&lt;&gt;"",C171&lt;&gt;""),"","ERR"),"")</f>
        <v/>
      </c>
      <c r="F171" s="115" t="s">
        <v>33</v>
      </c>
      <c r="G171" s="116" t="s">
        <v>37</v>
      </c>
      <c r="H171" s="117" t="s">
        <v>35</v>
      </c>
      <c r="I171" s="118" t="s">
        <v>28</v>
      </c>
      <c r="J171" s="119" t="s">
        <v>26</v>
      </c>
      <c r="K171" s="226" t="s">
        <v>474</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https://www.comunidad.madrid/hospital/clinicosancarlos/ciudadanos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Consultas externas</v>
      </c>
      <c r="C173" s="114" t="str" cm="1">
        <f t="array" ref="C173">IFERROR(INDEX('03.Muestra'!$F$8:$F$42,SMALL(IF("Página Web"='03.Muestra'!$D$8:$D$42,ROW('03.Muestra'!$F$8:$F$42)-MIN(ROW('03.Muestra'!$D$8:$D$42))+1,""),ROW()-170)),"")</f>
        <v>https://www.comunidad.madrid/hospital/clinicosancarlos/ciudadanos/consultas-externas</v>
      </c>
      <c r="D173" s="130" t="s">
        <v>35</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Donación</v>
      </c>
      <c r="C174" s="114" t="str" cm="1">
        <f t="array" ref="C174">IFERROR(INDEX('03.Muestra'!$F$8:$F$42,SMALL(IF("Página Web"='03.Muestra'!$D$8:$D$42,ROW('03.Muestra'!$F$8:$F$42)-MIN(ROW('03.Muestra'!$D$8:$D$42))+1,""),ROW()-170)),"")</f>
        <v>https://www.comunidad.madrid/hospital/clinicosancarlos/ciudadanos/donacion-0</v>
      </c>
      <c r="D174" s="130" t="s">
        <v>35</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https://www.comunidad.madrid/hospital/clinicosancarlos/profesionales</v>
      </c>
      <c r="D175" s="130" t="s">
        <v>35</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Docencia</v>
      </c>
      <c r="C176" s="114" t="str" cm="1">
        <f t="array" ref="C176">IFERROR(INDEX('03.Muestra'!$F$8:$F$42,SMALL(IF("Página Web"='03.Muestra'!$D$8:$D$42,ROW('03.Muestra'!$F$8:$F$42)-MIN(ROW('03.Muestra'!$D$8:$D$42))+1,""),ROW()-170)),"")</f>
        <v>https://www.comunidad.madrid/hospital/clinicosancarlos/profesionales/docencia</v>
      </c>
      <c r="D176" s="130" t="s">
        <v>35</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Referencia</v>
      </c>
      <c r="C177" s="114" t="str" cm="1">
        <f t="array" ref="C177">IFERROR(INDEX('03.Muestra'!$F$8:$F$42,SMALL(IF("Página Web"='03.Muestra'!$D$8:$D$42,ROW('03.Muestra'!$F$8:$F$42)-MIN(ROW('03.Muestra'!$D$8:$D$42))+1,""),ROW()-170)),"")</f>
        <v>https://www.comunidad.madrid/hospital/clinicosancarlos/profesionales/unidades-referencia-nacional-redes-europeas</v>
      </c>
      <c r="D177" s="130" t="s">
        <v>35</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Comunicación</v>
      </c>
      <c r="C178" s="114" t="str" cm="1">
        <f t="array" ref="C178">IFERROR(INDEX('03.Muestra'!$F$8:$F$42,SMALL(IF("Página Web"='03.Muestra'!$D$8:$D$42,ROW('03.Muestra'!$F$8:$F$42)-MIN(ROW('03.Muestra'!$D$8:$D$42))+1,""),ROW()-170)),"")</f>
        <v>https://www.comunidad.madrid/hospital/clinicosancarlos/comunicacion</v>
      </c>
      <c r="D178" s="130" t="s">
        <v>35</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Videoteca</v>
      </c>
      <c r="C179" s="114" t="str" cm="1">
        <f t="array" ref="C179">IFERROR(INDEX('03.Muestra'!$F$8:$F$42,SMALL(IF("Página Web"='03.Muestra'!$D$8:$D$42,ROW('03.Muestra'!$F$8:$F$42)-MIN(ROW('03.Muestra'!$D$8:$D$42))+1,""),ROW()-170)),"")</f>
        <v>https://www.comunidad.madrid/hospital/clinicosancarlos/comunicacion/videoteca</v>
      </c>
      <c r="D179" s="130" t="s">
        <v>35</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Noticias</v>
      </c>
      <c r="C180" s="114" t="str" cm="1">
        <f t="array" ref="C180">IFERROR(INDEX('03.Muestra'!$F$8:$F$42,SMALL(IF("Página Web"='03.Muestra'!$D$8:$D$42,ROW('03.Muestra'!$F$8:$F$42)-MIN(ROW('03.Muestra'!$D$8:$D$42))+1,""),ROW()-170)),"")</f>
        <v>https://www.comunidad.madrid/hospital/clinicosancarlos/comunicacion/noticias</v>
      </c>
      <c r="D180" s="130" t="s">
        <v>35</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Nosotros</v>
      </c>
      <c r="C181" s="114" t="str" cm="1">
        <f t="array" ref="C181">IFERROR(INDEX('03.Muestra'!$F$8:$F$42,SMALL(IF("Página Web"='03.Muestra'!$D$8:$D$42,ROW('03.Muestra'!$F$8:$F$42)-MIN(ROW('03.Muestra'!$D$8:$D$42))+1,""),ROW()-170)),"")</f>
        <v>https://www.comunidad.madrid/hospital/clinicosancarlos/nosotros</v>
      </c>
      <c r="D181" s="130" t="s">
        <v>35</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Gestión Ambiental</v>
      </c>
      <c r="C182" s="114" t="str" cm="1">
        <f t="array" ref="C182">IFERROR(INDEX('03.Muestra'!$F$8:$F$42,SMALL(IF("Página Web"='03.Muestra'!$D$8:$D$42,ROW('03.Muestra'!$F$8:$F$42)-MIN(ROW('03.Muestra'!$D$8:$D$42))+1,""),ROW()-170)),"")</f>
        <v>https://www.comunidad.madrid/hospital/clinicosancarlos/nosotros/gestion-ambiental</v>
      </c>
      <c r="D182" s="130" t="s">
        <v>35</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Proveedores</v>
      </c>
      <c r="C183" s="114" t="str" cm="1">
        <f t="array" ref="C183">IFERROR(INDEX('03.Muestra'!$F$8:$F$42,SMALL(IF("Página Web"='03.Muestra'!$D$8:$D$42,ROW('03.Muestra'!$F$8:$F$42)-MIN(ROW('03.Muestra'!$D$8:$D$42))+1,""),ROW()-170)),"")</f>
        <v>https://www.comunidad.madrid/hospital/clinicosancarlos/nosotros/proveedores-0</v>
      </c>
      <c r="D183" s="130" t="s">
        <v>35</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Aviso legal</v>
      </c>
      <c r="C184" s="114" t="str" cm="1">
        <f t="array" ref="C184">IFERROR(INDEX('03.Muestra'!$F$8:$F$42,SMALL(IF("Página Web"='03.Muestra'!$D$8:$D$42,ROW('03.Muestra'!$F$8:$F$42)-MIN(ROW('03.Muestra'!$D$8:$D$42))+1,""),ROW()-170)),"")</f>
        <v>https://www.comunidad.madrid/hospital/clinicosancarlos/aviso-legal-privacidad</v>
      </c>
      <c r="D184" s="130" t="s">
        <v>35</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Mapa web</v>
      </c>
      <c r="C185" s="114" t="str" cm="1">
        <f t="array" ref="C185">IFERROR(INDEX('03.Muestra'!$F$8:$F$42,SMALL(IF("Página Web"='03.Muestra'!$D$8:$D$42,ROW('03.Muestra'!$F$8:$F$42)-MIN(ROW('03.Muestra'!$D$8:$D$42))+1,""),ROW()-170)),"")</f>
        <v>https://www.comunidad.madrid/hospital/clinicosancarlos/sitemap</v>
      </c>
      <c r="D185" s="130" t="s">
        <v>35</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Accesibilidad</v>
      </c>
      <c r="C186" s="114" t="str" cm="1">
        <f t="array" ref="C186">IFERROR(INDEX('03.Muestra'!$F$8:$F$42,SMALL(IF("Página Web"='03.Muestra'!$D$8:$D$42,ROW('03.Muestra'!$F$8:$F$42)-MIN(ROW('03.Muestra'!$D$8:$D$42))+1,""),ROW()-170)),"")</f>
        <v>https://www.comunidad.madrid/hospital/clinicosancarlos/declaracion-accesibilidad</v>
      </c>
      <c r="D186" s="130" t="s">
        <v>35</v>
      </c>
      <c r="E186" s="107" t="str">
        <f t="shared" si="8"/>
        <v/>
      </c>
      <c r="F186" s="19"/>
      <c r="G186" s="19"/>
      <c r="H186" s="19"/>
      <c r="I186" s="19"/>
      <c r="J186" s="19"/>
      <c r="K186" s="233"/>
    </row>
    <row r="187" spans="1:11"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row>
    <row r="188" spans="1:11"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row>
    <row r="189" spans="1:11"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row>
    <row r="190" spans="1:11"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268</v>
      </c>
      <c r="B208" s="24" t="s">
        <v>90</v>
      </c>
      <c r="C208" s="25" t="s">
        <v>266</v>
      </c>
      <c r="D208" s="26" t="s">
        <v>32</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https://www.comunidad.madrid/hospital/clinicosancarlos/</v>
      </c>
      <c r="D209" s="130" t="s">
        <v>35</v>
      </c>
      <c r="E209" s="107" t="str">
        <f t="shared" ref="E209:E243" si="10">IF(D209&lt;&gt;"",IF(AND(B209&lt;&gt;"",C209&lt;&gt;""),"","ERR"),"")</f>
        <v/>
      </c>
      <c r="F209" s="115" t="s">
        <v>33</v>
      </c>
      <c r="G209" s="116" t="s">
        <v>37</v>
      </c>
      <c r="H209" s="117" t="s">
        <v>35</v>
      </c>
      <c r="I209" s="118" t="s">
        <v>28</v>
      </c>
      <c r="J209" s="119" t="s">
        <v>26</v>
      </c>
      <c r="K209" s="226" t="s">
        <v>474</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https://www.comunidad.madrid/hospital/clinicosancarlos/ciudadanos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Consultas externas</v>
      </c>
      <c r="C211" s="114" t="str" cm="1">
        <f t="array" ref="C211">IFERROR(INDEX('03.Muestra'!$F$8:$F$42,SMALL(IF("Página Web"='03.Muestra'!$D$8:$D$42,ROW('03.Muestra'!$F$8:$F$42)-MIN(ROW('03.Muestra'!$D$8:$D$42))+1,""),ROW()-208)),"")</f>
        <v>https://www.comunidad.madrid/hospital/clinicosancarlos/ciudadanos/consultas-externas</v>
      </c>
      <c r="D211" s="130" t="s">
        <v>35</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Donación</v>
      </c>
      <c r="C212" s="114" t="str" cm="1">
        <f t="array" ref="C212">IFERROR(INDEX('03.Muestra'!$F$8:$F$42,SMALL(IF("Página Web"='03.Muestra'!$D$8:$D$42,ROW('03.Muestra'!$F$8:$F$42)-MIN(ROW('03.Muestra'!$D$8:$D$42))+1,""),ROW()-208)),"")</f>
        <v>https://www.comunidad.madrid/hospital/clinicosancarlos/ciudadanos/donacion-0</v>
      </c>
      <c r="D212" s="130" t="s">
        <v>35</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Profesionales</v>
      </c>
      <c r="C213" s="114" t="str" cm="1">
        <f t="array" ref="C213">IFERROR(INDEX('03.Muestra'!$F$8:$F$42,SMALL(IF("Página Web"='03.Muestra'!$D$8:$D$42,ROW('03.Muestra'!$F$8:$F$42)-MIN(ROW('03.Muestra'!$D$8:$D$42))+1,""),ROW()-208)),"")</f>
        <v>https://www.comunidad.madrid/hospital/clinicosancarlos/profesionales</v>
      </c>
      <c r="D213" s="130" t="s">
        <v>35</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Docencia</v>
      </c>
      <c r="C214" s="114" t="str" cm="1">
        <f t="array" ref="C214">IFERROR(INDEX('03.Muestra'!$F$8:$F$42,SMALL(IF("Página Web"='03.Muestra'!$D$8:$D$42,ROW('03.Muestra'!$F$8:$F$42)-MIN(ROW('03.Muestra'!$D$8:$D$42))+1,""),ROW()-208)),"")</f>
        <v>https://www.comunidad.madrid/hospital/clinicosancarlos/profesionales/docencia</v>
      </c>
      <c r="D214" s="130" t="s">
        <v>35</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Referencia</v>
      </c>
      <c r="C215" s="114" t="str" cm="1">
        <f t="array" ref="C215">IFERROR(INDEX('03.Muestra'!$F$8:$F$42,SMALL(IF("Página Web"='03.Muestra'!$D$8:$D$42,ROW('03.Muestra'!$F$8:$F$42)-MIN(ROW('03.Muestra'!$D$8:$D$42))+1,""),ROW()-208)),"")</f>
        <v>https://www.comunidad.madrid/hospital/clinicosancarlos/profesionales/unidades-referencia-nacional-redes-europeas</v>
      </c>
      <c r="D215" s="130" t="s">
        <v>35</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Comunicación</v>
      </c>
      <c r="C216" s="114" t="str" cm="1">
        <f t="array" ref="C216">IFERROR(INDEX('03.Muestra'!$F$8:$F$42,SMALL(IF("Página Web"='03.Muestra'!$D$8:$D$42,ROW('03.Muestra'!$F$8:$F$42)-MIN(ROW('03.Muestra'!$D$8:$D$42))+1,""),ROW()-208)),"")</f>
        <v>https://www.comunidad.madrid/hospital/clinicosancarlos/comunicacion</v>
      </c>
      <c r="D216" s="130" t="s">
        <v>35</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Videoteca</v>
      </c>
      <c r="C217" s="114" t="str" cm="1">
        <f t="array" ref="C217">IFERROR(INDEX('03.Muestra'!$F$8:$F$42,SMALL(IF("Página Web"='03.Muestra'!$D$8:$D$42,ROW('03.Muestra'!$F$8:$F$42)-MIN(ROW('03.Muestra'!$D$8:$D$42))+1,""),ROW()-208)),"")</f>
        <v>https://www.comunidad.madrid/hospital/clinicosancarlos/comunicacion/videoteca</v>
      </c>
      <c r="D217" s="130" t="s">
        <v>35</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Noticias</v>
      </c>
      <c r="C218" s="114" t="str" cm="1">
        <f t="array" ref="C218">IFERROR(INDEX('03.Muestra'!$F$8:$F$42,SMALL(IF("Página Web"='03.Muestra'!$D$8:$D$42,ROW('03.Muestra'!$F$8:$F$42)-MIN(ROW('03.Muestra'!$D$8:$D$42))+1,""),ROW()-208)),"")</f>
        <v>https://www.comunidad.madrid/hospital/clinicosancarlos/comunicacion/noticias</v>
      </c>
      <c r="D218" s="130" t="s">
        <v>35</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Nosotros</v>
      </c>
      <c r="C219" s="114" t="str" cm="1">
        <f t="array" ref="C219">IFERROR(INDEX('03.Muestra'!$F$8:$F$42,SMALL(IF("Página Web"='03.Muestra'!$D$8:$D$42,ROW('03.Muestra'!$F$8:$F$42)-MIN(ROW('03.Muestra'!$D$8:$D$42))+1,""),ROW()-208)),"")</f>
        <v>https://www.comunidad.madrid/hospital/clinicosancarlos/nosotros</v>
      </c>
      <c r="D219" s="130" t="s">
        <v>35</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Gestión Ambiental</v>
      </c>
      <c r="C220" s="114" t="str" cm="1">
        <f t="array" ref="C220">IFERROR(INDEX('03.Muestra'!$F$8:$F$42,SMALL(IF("Página Web"='03.Muestra'!$D$8:$D$42,ROW('03.Muestra'!$F$8:$F$42)-MIN(ROW('03.Muestra'!$D$8:$D$42))+1,""),ROW()-208)),"")</f>
        <v>https://www.comunidad.madrid/hospital/clinicosancarlos/nosotros/gestion-ambiental</v>
      </c>
      <c r="D220" s="130" t="s">
        <v>35</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Proveedores</v>
      </c>
      <c r="C221" s="114" t="str" cm="1">
        <f t="array" ref="C221">IFERROR(INDEX('03.Muestra'!$F$8:$F$42,SMALL(IF("Página Web"='03.Muestra'!$D$8:$D$42,ROW('03.Muestra'!$F$8:$F$42)-MIN(ROW('03.Muestra'!$D$8:$D$42))+1,""),ROW()-208)),"")</f>
        <v>https://www.comunidad.madrid/hospital/clinicosancarlos/nosotros/proveedores-0</v>
      </c>
      <c r="D221" s="130" t="s">
        <v>35</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Aviso legal</v>
      </c>
      <c r="C222" s="114" t="str" cm="1">
        <f t="array" ref="C222">IFERROR(INDEX('03.Muestra'!$F$8:$F$42,SMALL(IF("Página Web"='03.Muestra'!$D$8:$D$42,ROW('03.Muestra'!$F$8:$F$42)-MIN(ROW('03.Muestra'!$D$8:$D$42))+1,""),ROW()-208)),"")</f>
        <v>https://www.comunidad.madrid/hospital/clinicosancarlos/aviso-legal-privacidad</v>
      </c>
      <c r="D222" s="130" t="s">
        <v>35</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Mapa web</v>
      </c>
      <c r="C223" s="114" t="str" cm="1">
        <f t="array" ref="C223">IFERROR(INDEX('03.Muestra'!$F$8:$F$42,SMALL(IF("Página Web"='03.Muestra'!$D$8:$D$42,ROW('03.Muestra'!$F$8:$F$42)-MIN(ROW('03.Muestra'!$D$8:$D$42))+1,""),ROW()-208)),"")</f>
        <v>https://www.comunidad.madrid/hospital/clinicosancarlos/sitemap</v>
      </c>
      <c r="D223" s="130" t="s">
        <v>35</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Accesibilidad</v>
      </c>
      <c r="C224" s="114" t="str" cm="1">
        <f t="array" ref="C224">IFERROR(INDEX('03.Muestra'!$F$8:$F$42,SMALL(IF("Página Web"='03.Muestra'!$D$8:$D$42,ROW('03.Muestra'!$F$8:$F$42)-MIN(ROW('03.Muestra'!$D$8:$D$42))+1,""),ROW()-208)),"")</f>
        <v>https://www.comunidad.madrid/hospital/clinicosancarlos/declaracion-accesibilidad</v>
      </c>
      <c r="D224" s="130" t="s">
        <v>35</v>
      </c>
      <c r="E224" s="107" t="str">
        <f t="shared" si="10"/>
        <v/>
      </c>
      <c r="F224" s="19"/>
      <c r="G224" s="19"/>
      <c r="H224" s="19"/>
      <c r="I224" s="19"/>
      <c r="J224" s="19"/>
      <c r="K224" s="233"/>
    </row>
    <row r="225" spans="1:11"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33"/>
    </row>
    <row r="226" spans="1:11"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row>
    <row r="227" spans="1:11"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row>
    <row r="228" spans="1:11"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E19:E53 E57:E91 E95:E129 E133:E167 E171:E205 E209:E243">
    <cfRule type="cellIs" dxfId="301" priority="1304" stopIfTrue="1" operator="equal">
      <formula>"ERR"</formula>
    </cfRule>
  </conditionalFormatting>
  <conditionalFormatting sqref="F19:J19 F57:J57 F95:J95 F133:J133 F171:J171 F209:J209 D19:D53 D57:D91 D95:D129 D133:D167 D171:D205 D209:D243">
    <cfRule type="expression" dxfId="300" priority="1298" stopIfTrue="1">
      <formula>ISBLANK(D19)</formula>
    </cfRule>
    <cfRule type="cellIs" dxfId="299" priority="1299" stopIfTrue="1" operator="equal">
      <formula>"Pasa"</formula>
    </cfRule>
    <cfRule type="cellIs" dxfId="298" priority="1300" stopIfTrue="1" operator="equal">
      <formula>"Falla"</formula>
    </cfRule>
    <cfRule type="cellIs" dxfId="297" priority="1301" stopIfTrue="1" operator="equal">
      <formula>"N/A"</formula>
    </cfRule>
    <cfRule type="cellIs" dxfId="296" priority="1302" stopIfTrue="1" operator="equal">
      <formula>"N/T"</formula>
    </cfRule>
    <cfRule type="cellIs" dxfId="295" priority="1303" stopIfTrue="1" operator="equal">
      <formula>"N/D"</formula>
    </cfRule>
  </conditionalFormatting>
  <conditionalFormatting sqref="D1:D7 D11:D1048576">
    <cfRule type="cellIs" dxfId="294" priority="1051" stopIfTrue="1" operator="equal">
      <formula>"-"</formula>
    </cfRule>
  </conditionalFormatting>
  <conditionalFormatting sqref="D19:D53">
    <cfRule type="expression" dxfId="293" priority="541" stopIfTrue="1">
      <formula>ISBLANK(D19)</formula>
    </cfRule>
    <cfRule type="cellIs" dxfId="292" priority="542" stopIfTrue="1" operator="equal">
      <formula>"Pasa"</formula>
    </cfRule>
    <cfRule type="cellIs" dxfId="291" priority="543" stopIfTrue="1" operator="equal">
      <formula>"Falla"</formula>
    </cfRule>
    <cfRule type="cellIs" dxfId="290" priority="544" stopIfTrue="1" operator="equal">
      <formula>"N/A"</formula>
    </cfRule>
    <cfRule type="cellIs" dxfId="289" priority="545" stopIfTrue="1" operator="equal">
      <formula>"N/T"</formula>
    </cfRule>
    <cfRule type="cellIs" dxfId="288" priority="546" stopIfTrue="1" operator="equal">
      <formula>"N/D"</formula>
    </cfRule>
  </conditionalFormatting>
  <conditionalFormatting sqref="D19:D53">
    <cfRule type="expression" dxfId="287" priority="535" stopIfTrue="1">
      <formula>ISBLANK(D19)</formula>
    </cfRule>
    <cfRule type="cellIs" dxfId="286" priority="536" stopIfTrue="1" operator="equal">
      <formula>"Pasa"</formula>
    </cfRule>
    <cfRule type="cellIs" dxfId="285" priority="537" stopIfTrue="1" operator="equal">
      <formula>"Falla"</formula>
    </cfRule>
    <cfRule type="cellIs" dxfId="284" priority="538" stopIfTrue="1" operator="equal">
      <formula>"N/A"</formula>
    </cfRule>
    <cfRule type="cellIs" dxfId="283" priority="539" stopIfTrue="1" operator="equal">
      <formula>"N/T"</formula>
    </cfRule>
    <cfRule type="cellIs" dxfId="282" priority="540" stopIfTrue="1" operator="equal">
      <formula>"N/D"</formula>
    </cfRule>
  </conditionalFormatting>
  <conditionalFormatting sqref="D57:D91">
    <cfRule type="expression" dxfId="281" priority="529" stopIfTrue="1">
      <formula>ISBLANK(D57)</formula>
    </cfRule>
    <cfRule type="cellIs" dxfId="280" priority="530" stopIfTrue="1" operator="equal">
      <formula>"Pasa"</formula>
    </cfRule>
    <cfRule type="cellIs" dxfId="279" priority="531" stopIfTrue="1" operator="equal">
      <formula>"Falla"</formula>
    </cfRule>
    <cfRule type="cellIs" dxfId="278" priority="532" stopIfTrue="1" operator="equal">
      <formula>"N/A"</formula>
    </cfRule>
    <cfRule type="cellIs" dxfId="277" priority="533" stopIfTrue="1" operator="equal">
      <formula>"N/T"</formula>
    </cfRule>
    <cfRule type="cellIs" dxfId="276" priority="534" stopIfTrue="1" operator="equal">
      <formula>"N/D"</formula>
    </cfRule>
  </conditionalFormatting>
  <conditionalFormatting sqref="D57:D91">
    <cfRule type="expression" dxfId="275" priority="523" stopIfTrue="1">
      <formula>ISBLANK(D57)</formula>
    </cfRule>
    <cfRule type="cellIs" dxfId="274" priority="524" stopIfTrue="1" operator="equal">
      <formula>"Pasa"</formula>
    </cfRule>
    <cfRule type="cellIs" dxfId="273" priority="525" stopIfTrue="1" operator="equal">
      <formula>"Falla"</formula>
    </cfRule>
    <cfRule type="cellIs" dxfId="272" priority="526" stopIfTrue="1" operator="equal">
      <formula>"N/A"</formula>
    </cfRule>
    <cfRule type="cellIs" dxfId="271" priority="527" stopIfTrue="1" operator="equal">
      <formula>"N/T"</formula>
    </cfRule>
    <cfRule type="cellIs" dxfId="270" priority="528" stopIfTrue="1" operator="equal">
      <formula>"N/D"</formula>
    </cfRule>
  </conditionalFormatting>
  <conditionalFormatting sqref="D95:D129">
    <cfRule type="expression" dxfId="269" priority="517" stopIfTrue="1">
      <formula>ISBLANK(D95)</formula>
    </cfRule>
    <cfRule type="cellIs" dxfId="268" priority="518" stopIfTrue="1" operator="equal">
      <formula>"Pasa"</formula>
    </cfRule>
    <cfRule type="cellIs" dxfId="267" priority="519" stopIfTrue="1" operator="equal">
      <formula>"Falla"</formula>
    </cfRule>
    <cfRule type="cellIs" dxfId="266" priority="520" stopIfTrue="1" operator="equal">
      <formula>"N/A"</formula>
    </cfRule>
    <cfRule type="cellIs" dxfId="265" priority="521" stopIfTrue="1" operator="equal">
      <formula>"N/T"</formula>
    </cfRule>
    <cfRule type="cellIs" dxfId="264" priority="522" stopIfTrue="1" operator="equal">
      <formula>"N/D"</formula>
    </cfRule>
  </conditionalFormatting>
  <conditionalFormatting sqref="D95:D129">
    <cfRule type="expression" dxfId="263" priority="511" stopIfTrue="1">
      <formula>ISBLANK(D95)</formula>
    </cfRule>
    <cfRule type="cellIs" dxfId="262" priority="512" stopIfTrue="1" operator="equal">
      <formula>"Pasa"</formula>
    </cfRule>
    <cfRule type="cellIs" dxfId="261" priority="513" stopIfTrue="1" operator="equal">
      <formula>"Falla"</formula>
    </cfRule>
    <cfRule type="cellIs" dxfId="260" priority="514" stopIfTrue="1" operator="equal">
      <formula>"N/A"</formula>
    </cfRule>
    <cfRule type="cellIs" dxfId="259" priority="515" stopIfTrue="1" operator="equal">
      <formula>"N/T"</formula>
    </cfRule>
    <cfRule type="cellIs" dxfId="258" priority="516" stopIfTrue="1" operator="equal">
      <formula>"N/D"</formula>
    </cfRule>
  </conditionalFormatting>
  <conditionalFormatting sqref="D133:D167">
    <cfRule type="expression" dxfId="257" priority="505" stopIfTrue="1">
      <formula>ISBLANK(D133)</formula>
    </cfRule>
    <cfRule type="cellIs" dxfId="256" priority="506" stopIfTrue="1" operator="equal">
      <formula>"Pasa"</formula>
    </cfRule>
    <cfRule type="cellIs" dxfId="255" priority="507" stopIfTrue="1" operator="equal">
      <formula>"Falla"</formula>
    </cfRule>
    <cfRule type="cellIs" dxfId="254" priority="508" stopIfTrue="1" operator="equal">
      <formula>"N/A"</formula>
    </cfRule>
    <cfRule type="cellIs" dxfId="253" priority="509" stopIfTrue="1" operator="equal">
      <formula>"N/T"</formula>
    </cfRule>
    <cfRule type="cellIs" dxfId="252" priority="510" stopIfTrue="1" operator="equal">
      <formula>"N/D"</formula>
    </cfRule>
  </conditionalFormatting>
  <conditionalFormatting sqref="D133:D167">
    <cfRule type="expression" dxfId="251" priority="499" stopIfTrue="1">
      <formula>ISBLANK(D133)</formula>
    </cfRule>
    <cfRule type="cellIs" dxfId="250" priority="500" stopIfTrue="1" operator="equal">
      <formula>"Pasa"</formula>
    </cfRule>
    <cfRule type="cellIs" dxfId="249" priority="501" stopIfTrue="1" operator="equal">
      <formula>"Falla"</formula>
    </cfRule>
    <cfRule type="cellIs" dxfId="248" priority="502" stopIfTrue="1" operator="equal">
      <formula>"N/A"</formula>
    </cfRule>
    <cfRule type="cellIs" dxfId="247" priority="503" stopIfTrue="1" operator="equal">
      <formula>"N/T"</formula>
    </cfRule>
    <cfRule type="cellIs" dxfId="246" priority="504" stopIfTrue="1" operator="equal">
      <formula>"N/D"</formula>
    </cfRule>
  </conditionalFormatting>
  <conditionalFormatting sqref="D171:D205">
    <cfRule type="expression" dxfId="245" priority="493" stopIfTrue="1">
      <formula>ISBLANK(D171)</formula>
    </cfRule>
    <cfRule type="cellIs" dxfId="244" priority="494" stopIfTrue="1" operator="equal">
      <formula>"Pasa"</formula>
    </cfRule>
    <cfRule type="cellIs" dxfId="243" priority="495" stopIfTrue="1" operator="equal">
      <formula>"Falla"</formula>
    </cfRule>
    <cfRule type="cellIs" dxfId="242" priority="496" stopIfTrue="1" operator="equal">
      <formula>"N/A"</formula>
    </cfRule>
    <cfRule type="cellIs" dxfId="241" priority="497" stopIfTrue="1" operator="equal">
      <formula>"N/T"</formula>
    </cfRule>
    <cfRule type="cellIs" dxfId="240" priority="498" stopIfTrue="1" operator="equal">
      <formula>"N/D"</formula>
    </cfRule>
  </conditionalFormatting>
  <conditionalFormatting sqref="D171:D205">
    <cfRule type="expression" dxfId="239" priority="487" stopIfTrue="1">
      <formula>ISBLANK(D171)</formula>
    </cfRule>
    <cfRule type="cellIs" dxfId="238" priority="488" stopIfTrue="1" operator="equal">
      <formula>"Pasa"</formula>
    </cfRule>
    <cfRule type="cellIs" dxfId="237" priority="489" stopIfTrue="1" operator="equal">
      <formula>"Falla"</formula>
    </cfRule>
    <cfRule type="cellIs" dxfId="236" priority="490" stopIfTrue="1" operator="equal">
      <formula>"N/A"</formula>
    </cfRule>
    <cfRule type="cellIs" dxfId="235" priority="491" stopIfTrue="1" operator="equal">
      <formula>"N/T"</formula>
    </cfRule>
    <cfRule type="cellIs" dxfId="234" priority="492" stopIfTrue="1" operator="equal">
      <formula>"N/D"</formula>
    </cfRule>
  </conditionalFormatting>
  <conditionalFormatting sqref="D209:D243">
    <cfRule type="expression" dxfId="233" priority="481" stopIfTrue="1">
      <formula>ISBLANK(D209)</formula>
    </cfRule>
    <cfRule type="cellIs" dxfId="232" priority="482" stopIfTrue="1" operator="equal">
      <formula>"Pasa"</formula>
    </cfRule>
    <cfRule type="cellIs" dxfId="231" priority="483" stopIfTrue="1" operator="equal">
      <formula>"Falla"</formula>
    </cfRule>
    <cfRule type="cellIs" dxfId="230" priority="484" stopIfTrue="1" operator="equal">
      <formula>"N/A"</formula>
    </cfRule>
    <cfRule type="cellIs" dxfId="229" priority="485" stopIfTrue="1" operator="equal">
      <formula>"N/T"</formula>
    </cfRule>
    <cfRule type="cellIs" dxfId="228" priority="486" stopIfTrue="1" operator="equal">
      <formula>"N/D"</formula>
    </cfRule>
  </conditionalFormatting>
  <conditionalFormatting sqref="D209:D243">
    <cfRule type="expression" dxfId="227" priority="475" stopIfTrue="1">
      <formula>ISBLANK(D209)</formula>
    </cfRule>
    <cfRule type="cellIs" dxfId="226" priority="476" stopIfTrue="1" operator="equal">
      <formula>"Pasa"</formula>
    </cfRule>
    <cfRule type="cellIs" dxfId="225" priority="477" stopIfTrue="1" operator="equal">
      <formula>"Falla"</formula>
    </cfRule>
    <cfRule type="cellIs" dxfId="224" priority="478" stopIfTrue="1" operator="equal">
      <formula>"N/A"</formula>
    </cfRule>
    <cfRule type="cellIs" dxfId="223" priority="479" stopIfTrue="1" operator="equal">
      <formula>"N/T"</formula>
    </cfRule>
    <cfRule type="cellIs" dxfId="222" priority="480" stopIfTrue="1" operator="equal">
      <formula>"N/D"</formula>
    </cfRule>
  </conditionalFormatting>
  <conditionalFormatting sqref="K23">
    <cfRule type="expression" dxfId="221" priority="79" stopIfTrue="1">
      <formula>ISBLANK(K23)</formula>
    </cfRule>
    <cfRule type="cellIs" dxfId="220" priority="80" stopIfTrue="1" operator="equal">
      <formula>"Pasa"</formula>
    </cfRule>
    <cfRule type="cellIs" dxfId="219" priority="81" stopIfTrue="1" operator="equal">
      <formula>"Falla"</formula>
    </cfRule>
    <cfRule type="cellIs" dxfId="218" priority="82" stopIfTrue="1" operator="equal">
      <formula>"N/A"</formula>
    </cfRule>
    <cfRule type="cellIs" dxfId="217" priority="83" stopIfTrue="1" operator="equal">
      <formula>"N/T"</formula>
    </cfRule>
    <cfRule type="cellIs" dxfId="216" priority="84" stopIfTrue="1" operator="equal">
      <formula>"N/D"</formula>
    </cfRule>
  </conditionalFormatting>
  <conditionalFormatting sqref="K24">
    <cfRule type="expression" dxfId="215" priority="73" stopIfTrue="1">
      <formula>ISBLANK(K24)</formula>
    </cfRule>
    <cfRule type="cellIs" dxfId="214" priority="74" stopIfTrue="1" operator="equal">
      <formula>"Pasa"</formula>
    </cfRule>
    <cfRule type="cellIs" dxfId="213" priority="75" stopIfTrue="1" operator="equal">
      <formula>"Falla"</formula>
    </cfRule>
    <cfRule type="cellIs" dxfId="212" priority="76" stopIfTrue="1" operator="equal">
      <formula>"N/A"</formula>
    </cfRule>
    <cfRule type="cellIs" dxfId="211" priority="77" stopIfTrue="1" operator="equal">
      <formula>"N/T"</formula>
    </cfRule>
    <cfRule type="cellIs" dxfId="210" priority="78" stopIfTrue="1" operator="equal">
      <formula>"N/D"</formula>
    </cfRule>
  </conditionalFormatting>
  <conditionalFormatting sqref="D57:D72">
    <cfRule type="expression" dxfId="209" priority="67" stopIfTrue="1">
      <formula>ISBLANK(D57)</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D57:D72">
    <cfRule type="expression" dxfId="203" priority="61" stopIfTrue="1">
      <formula>ISBLANK(D57)</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95:D110">
    <cfRule type="expression" dxfId="197" priority="55" stopIfTrue="1">
      <formula>ISBLANK(D95)</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95:D110">
    <cfRule type="expression" dxfId="191" priority="49" stopIfTrue="1">
      <formula>ISBLANK(D95)</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133:D148">
    <cfRule type="expression" dxfId="185" priority="43" stopIfTrue="1">
      <formula>ISBLANK(D133)</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133:D148">
    <cfRule type="expression" dxfId="179" priority="37" stopIfTrue="1">
      <formula>ISBLANK(D133)</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71:D186">
    <cfRule type="expression" dxfId="173" priority="31" stopIfTrue="1">
      <formula>ISBLANK(D171)</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71:D186">
    <cfRule type="expression" dxfId="167" priority="25" stopIfTrue="1">
      <formula>ISBLANK(D171)</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210:D224">
    <cfRule type="expression" dxfId="161" priority="19" stopIfTrue="1">
      <formula>ISBLANK(D210)</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210:D224">
    <cfRule type="expression" dxfId="155" priority="13" stopIfTrue="1">
      <formula>ISBLANK(D210)</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09">
    <cfRule type="expression" dxfId="149" priority="7" stopIfTrue="1">
      <formula>ISBLANK(D209)</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09">
    <cfRule type="expression" dxfId="143" priority="1" stopIfTrue="1">
      <formula>ISBLANK(D209)</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BL652"/>
  <sheetViews>
    <sheetView zoomScale="65" zoomScaleNormal="65"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42578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95" customHeight="1">
      <c r="B8" s="111" t="s">
        <v>97</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COUNTIF($B$18:$B$4000,B12)</f>
        <v>5</v>
      </c>
      <c r="D12" s="28"/>
      <c r="E12" s="14"/>
      <c r="F12" s="62" t="s">
        <v>26</v>
      </c>
      <c r="G12" s="61">
        <f ca="1">J20+J58+J96+J134+J172</f>
        <v>32</v>
      </c>
      <c r="H12" s="53">
        <f ca="1">IF(($G$15+$K$15)=0,0,G12/($G$15+$K$15))</f>
        <v>0.4</v>
      </c>
      <c r="I12" s="28"/>
      <c r="J12" s="60" t="s">
        <v>27</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f>
        <v>48</v>
      </c>
      <c r="H13" s="53">
        <f ca="1">IF(($G$15+$K$15)=0,0,G13/($G$15+$K$15))</f>
        <v>0.6</v>
      </c>
      <c r="I13" s="28"/>
      <c r="J13" s="60" t="s">
        <v>29</v>
      </c>
      <c r="K13" s="61">
        <f ca="1">F20+F58+F96+F134+F172</f>
        <v>0</v>
      </c>
      <c r="L13" s="53">
        <f ca="1">IF(($G$15+$K$15)=0,0,K13/($G$15+$K$15))</f>
        <v>0</v>
      </c>
      <c r="M13" s="19"/>
      <c r="N13" s="19"/>
      <c r="O13" s="19"/>
      <c r="P13" s="19"/>
      <c r="Q13" s="19"/>
      <c r="R13" s="19"/>
      <c r="U13" s="19"/>
      <c r="V13" s="19"/>
      <c r="W13" s="19"/>
      <c r="X13" s="19"/>
      <c r="Y13" s="19"/>
    </row>
    <row r="14" spans="1:64" ht="12" customHeight="1" thickBot="1">
      <c r="B14" s="58" t="s">
        <v>30</v>
      </c>
      <c r="C14" s="59">
        <f>C12+C13</f>
        <v>5</v>
      </c>
      <c r="D14" s="28"/>
      <c r="E14" s="14"/>
      <c r="F14" s="62" t="s">
        <v>31</v>
      </c>
      <c r="G14" s="61">
        <f ca="1">H20+H58+H96+H134+H172</f>
        <v>0</v>
      </c>
      <c r="H14" s="53">
        <f ca="1">IF(($G$15+$K$15)=0,0,G14/($G$15+$K$15))</f>
        <v>0</v>
      </c>
      <c r="I14" s="28"/>
      <c r="J14" s="231" t="s">
        <v>474</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80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268</v>
      </c>
      <c r="B18" s="24" t="s">
        <v>90</v>
      </c>
      <c r="C18" s="25" t="s">
        <v>92</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https://www.comunidad.madrid/hospital/clinicosancarlos/</v>
      </c>
      <c r="D19" s="130" t="s">
        <v>26</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https://www.comunidad.madrid/hospital/clinicosancarlos/ciudadanos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16</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Consultas externas</v>
      </c>
      <c r="C21" s="114" t="str" cm="1">
        <f t="array" ref="C21">IFERROR(INDEX('03.Muestra'!$F$8:$F$42,SMALL(IF("Página Web"='03.Muestra'!$D$8:$D$42,ROW('03.Muestra'!$F$8:$F$42)-MIN(ROW('03.Muestra'!$D$8:$D$42))+1,""),ROW()-18)),"")</f>
        <v>https://www.comunidad.madrid/hospital/clinicosancarlos/ciudadanos/consultas-externas</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Donación</v>
      </c>
      <c r="C22" s="114" t="str" cm="1">
        <f t="array" ref="C22">IFERROR(INDEX('03.Muestra'!$F$8:$F$42,SMALL(IF("Página Web"='03.Muestra'!$D$8:$D$42,ROW('03.Muestra'!$F$8:$F$42)-MIN(ROW('03.Muestra'!$D$8:$D$42))+1,""),ROW()-18)),"")</f>
        <v>https://www.comunidad.madrid/hospital/clinicosancarlos/ciudadanos/donacion-0</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https://www.comunidad.madrid/hospital/clinicosancarlos/profesionales</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Docencia</v>
      </c>
      <c r="C24" s="114" t="str" cm="1">
        <f t="array" ref="C24">IFERROR(INDEX('03.Muestra'!$F$8:$F$42,SMALL(IF("Página Web"='03.Muestra'!$D$8:$D$42,ROW('03.Muestra'!$F$8:$F$42)-MIN(ROW('03.Muestra'!$D$8:$D$42))+1,""),ROW()-18)),"")</f>
        <v>https://www.comunidad.madrid/hospital/clinicosancarlos/profesionales/docencia</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Referencia</v>
      </c>
      <c r="C25" s="114" t="str" cm="1">
        <f t="array" ref="C25">IFERROR(INDEX('03.Muestra'!$F$8:$F$42,SMALL(IF("Página Web"='03.Muestra'!$D$8:$D$42,ROW('03.Muestra'!$F$8:$F$42)-MIN(ROW('03.Muestra'!$D$8:$D$42))+1,""),ROW()-18)),"")</f>
        <v>https://www.comunidad.madrid/hospital/clinicosancarlos/profesionales/unidades-referencia-nacional-redes-europeas</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Comunicación</v>
      </c>
      <c r="C26" s="114" t="str" cm="1">
        <f t="array" ref="C26">IFERROR(INDEX('03.Muestra'!$F$8:$F$42,SMALL(IF("Página Web"='03.Muestra'!$D$8:$D$42,ROW('03.Muestra'!$F$8:$F$42)-MIN(ROW('03.Muestra'!$D$8:$D$42))+1,""),ROW()-18)),"")</f>
        <v>https://www.comunidad.madrid/hospital/clinicosancarlos/comunicacion</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Videoteca</v>
      </c>
      <c r="C27" s="114" t="str" cm="1">
        <f t="array" ref="C27">IFERROR(INDEX('03.Muestra'!$F$8:$F$42,SMALL(IF("Página Web"='03.Muestra'!$D$8:$D$42,ROW('03.Muestra'!$F$8:$F$42)-MIN(ROW('03.Muestra'!$D$8:$D$42))+1,""),ROW()-18)),"")</f>
        <v>https://www.comunidad.madrid/hospital/clinicosancarlos/comunicacion/videoteca</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Noticias</v>
      </c>
      <c r="C28" s="114" t="str" cm="1">
        <f t="array" ref="C28">IFERROR(INDEX('03.Muestra'!$F$8:$F$42,SMALL(IF("Página Web"='03.Muestra'!$D$8:$D$42,ROW('03.Muestra'!$F$8:$F$42)-MIN(ROW('03.Muestra'!$D$8:$D$42))+1,""),ROW()-18)),"")</f>
        <v>https://www.comunidad.madrid/hospital/clinicosancarlos/comunicacion/noticias</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Nosotros</v>
      </c>
      <c r="C29" s="114" t="str" cm="1">
        <f t="array" ref="C29">IFERROR(INDEX('03.Muestra'!$F$8:$F$42,SMALL(IF("Página Web"='03.Muestra'!$D$8:$D$42,ROW('03.Muestra'!$F$8:$F$42)-MIN(ROW('03.Muestra'!$D$8:$D$42))+1,""),ROW()-18)),"")</f>
        <v>https://www.comunidad.madrid/hospital/clinicosancarlos/nosotros</v>
      </c>
      <c r="D29" s="130" t="s">
        <v>26</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Gestión Ambiental</v>
      </c>
      <c r="C30" s="114" t="str" cm="1">
        <f t="array" ref="C30">IFERROR(INDEX('03.Muestra'!$F$8:$F$42,SMALL(IF("Página Web"='03.Muestra'!$D$8:$D$42,ROW('03.Muestra'!$F$8:$F$42)-MIN(ROW('03.Muestra'!$D$8:$D$42))+1,""),ROW()-18)),"")</f>
        <v>https://www.comunidad.madrid/hospital/clinicosancarlos/nosotros/gestion-ambiental</v>
      </c>
      <c r="D30" s="130" t="s">
        <v>26</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Proveedores</v>
      </c>
      <c r="C31" s="114" t="str" cm="1">
        <f t="array" ref="C31">IFERROR(INDEX('03.Muestra'!$F$8:$F$42,SMALL(IF("Página Web"='03.Muestra'!$D$8:$D$42,ROW('03.Muestra'!$F$8:$F$42)-MIN(ROW('03.Muestra'!$D$8:$D$42))+1,""),ROW()-18)),"")</f>
        <v>https://www.comunidad.madrid/hospital/clinicosancarlos/nosotros/proveedores-0</v>
      </c>
      <c r="D31" s="130" t="s">
        <v>26</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Aviso legal</v>
      </c>
      <c r="C32" s="114" t="str" cm="1">
        <f t="array" ref="C32">IFERROR(INDEX('03.Muestra'!$F$8:$F$42,SMALL(IF("Página Web"='03.Muestra'!$D$8:$D$42,ROW('03.Muestra'!$F$8:$F$42)-MIN(ROW('03.Muestra'!$D$8:$D$42))+1,""),ROW()-18)),"")</f>
        <v>https://www.comunidad.madrid/hospital/clinicosancarlos/aviso-legal-privacidad</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Mapa web</v>
      </c>
      <c r="C33" s="114" t="str" cm="1">
        <f t="array" ref="C33">IFERROR(INDEX('03.Muestra'!$F$8:$F$42,SMALL(IF("Página Web"='03.Muestra'!$D$8:$D$42,ROW('03.Muestra'!$F$8:$F$42)-MIN(ROW('03.Muestra'!$D$8:$D$42))+1,""),ROW()-18)),"")</f>
        <v>https://www.comunidad.madrid/hospital/clinicosancarlos/sitemap</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Accesibilidad</v>
      </c>
      <c r="C34" s="114" t="str" cm="1">
        <f t="array" ref="C34">IFERROR(INDEX('03.Muestra'!$F$8:$F$42,SMALL(IF("Página Web"='03.Muestra'!$D$8:$D$42,ROW('03.Muestra'!$F$8:$F$42)-MIN(ROW('03.Muestra'!$D$8:$D$42))+1,""),ROW()-18)),"")</f>
        <v>https://www.comunidad.madrid/hospital/clinicosancarlos/declaracion-accesibilidad</v>
      </c>
      <c r="D34" s="130" t="s">
        <v>26</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93</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https://www.comunidad.madrid/hospital/clinicosancarlos/</v>
      </c>
      <c r="D57" s="130" t="s">
        <v>28</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https://www.comunidad.madrid/hospital/clinicosancarlos/ciudadanos</v>
      </c>
      <c r="D58" s="130" t="s">
        <v>28</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16</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Consultas externas</v>
      </c>
      <c r="C59" s="114" t="str" cm="1">
        <f t="array" ref="C59">IFERROR(INDEX('03.Muestra'!$F$8:$F$42,SMALL(IF("Página Web"='03.Muestra'!$D$8:$D$42,ROW('03.Muestra'!$F$8:$F$42)-MIN(ROW('03.Muestra'!$D$8:$D$42))+1,""),ROW()-56)),"")</f>
        <v>https://www.comunidad.madrid/hospital/clinicosancarlos/ciudadanos/consultas-externas</v>
      </c>
      <c r="D59" s="130" t="s">
        <v>28</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Donación</v>
      </c>
      <c r="C60" s="114" t="str" cm="1">
        <f t="array" ref="C60">IFERROR(INDEX('03.Muestra'!$F$8:$F$42,SMALL(IF("Página Web"='03.Muestra'!$D$8:$D$42,ROW('03.Muestra'!$F$8:$F$42)-MIN(ROW('03.Muestra'!$D$8:$D$42))+1,""),ROW()-56)),"")</f>
        <v>https://www.comunidad.madrid/hospital/clinicosancarlos/ciudadanos/donacion-0</v>
      </c>
      <c r="D60" s="130" t="s">
        <v>28</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https://www.comunidad.madrid/hospital/clinicosancarlos/profesionales</v>
      </c>
      <c r="D61" s="130" t="s">
        <v>28</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Docencia</v>
      </c>
      <c r="C62" s="114" t="str" cm="1">
        <f t="array" ref="C62">IFERROR(INDEX('03.Muestra'!$F$8:$F$42,SMALL(IF("Página Web"='03.Muestra'!$D$8:$D$42,ROW('03.Muestra'!$F$8:$F$42)-MIN(ROW('03.Muestra'!$D$8:$D$42))+1,""),ROW()-56)),"")</f>
        <v>https://www.comunidad.madrid/hospital/clinicosancarlos/profesionales/docencia</v>
      </c>
      <c r="D62" s="130" t="s">
        <v>28</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Referencia</v>
      </c>
      <c r="C63" s="114" t="str" cm="1">
        <f t="array" ref="C63">IFERROR(INDEX('03.Muestra'!$F$8:$F$42,SMALL(IF("Página Web"='03.Muestra'!$D$8:$D$42,ROW('03.Muestra'!$F$8:$F$42)-MIN(ROW('03.Muestra'!$D$8:$D$42))+1,""),ROW()-56)),"")</f>
        <v>https://www.comunidad.madrid/hospital/clinicosancarlos/profesionales/unidades-referencia-nacional-redes-europeas</v>
      </c>
      <c r="D63" s="130" t="s">
        <v>28</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Comunicación</v>
      </c>
      <c r="C64" s="114" t="str" cm="1">
        <f t="array" ref="C64">IFERROR(INDEX('03.Muestra'!$F$8:$F$42,SMALL(IF("Página Web"='03.Muestra'!$D$8:$D$42,ROW('03.Muestra'!$F$8:$F$42)-MIN(ROW('03.Muestra'!$D$8:$D$42))+1,""),ROW()-56)),"")</f>
        <v>https://www.comunidad.madrid/hospital/clinicosancarlos/comunicacion</v>
      </c>
      <c r="D64" s="130" t="s">
        <v>28</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Videoteca</v>
      </c>
      <c r="C65" s="114" t="str" cm="1">
        <f t="array" ref="C65">IFERROR(INDEX('03.Muestra'!$F$8:$F$42,SMALL(IF("Página Web"='03.Muestra'!$D$8:$D$42,ROW('03.Muestra'!$F$8:$F$42)-MIN(ROW('03.Muestra'!$D$8:$D$42))+1,""),ROW()-56)),"")</f>
        <v>https://www.comunidad.madrid/hospital/clinicosancarlos/comunicacion/videoteca</v>
      </c>
      <c r="D65" s="130" t="s">
        <v>28</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Noticias</v>
      </c>
      <c r="C66" s="114" t="str" cm="1">
        <f t="array" ref="C66">IFERROR(INDEX('03.Muestra'!$F$8:$F$42,SMALL(IF("Página Web"='03.Muestra'!$D$8:$D$42,ROW('03.Muestra'!$F$8:$F$42)-MIN(ROW('03.Muestra'!$D$8:$D$42))+1,""),ROW()-56)),"")</f>
        <v>https://www.comunidad.madrid/hospital/clinicosancarlos/comunicacion/noticias</v>
      </c>
      <c r="D66" s="130" t="s">
        <v>28</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Nosotros</v>
      </c>
      <c r="C67" s="114" t="str" cm="1">
        <f t="array" ref="C67">IFERROR(INDEX('03.Muestra'!$F$8:$F$42,SMALL(IF("Página Web"='03.Muestra'!$D$8:$D$42,ROW('03.Muestra'!$F$8:$F$42)-MIN(ROW('03.Muestra'!$D$8:$D$42))+1,""),ROW()-56)),"")</f>
        <v>https://www.comunidad.madrid/hospital/clinicosancarlos/nosotros</v>
      </c>
      <c r="D67" s="130" t="s">
        <v>28</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Gestión Ambiental</v>
      </c>
      <c r="C68" s="114" t="str" cm="1">
        <f t="array" ref="C68">IFERROR(INDEX('03.Muestra'!$F$8:$F$42,SMALL(IF("Página Web"='03.Muestra'!$D$8:$D$42,ROW('03.Muestra'!$F$8:$F$42)-MIN(ROW('03.Muestra'!$D$8:$D$42))+1,""),ROW()-56)),"")</f>
        <v>https://www.comunidad.madrid/hospital/clinicosancarlos/nosotros/gestion-ambiental</v>
      </c>
      <c r="D68" s="130" t="s">
        <v>28</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Proveedores</v>
      </c>
      <c r="C69" s="114" t="str" cm="1">
        <f t="array" ref="C69">IFERROR(INDEX('03.Muestra'!$F$8:$F$42,SMALL(IF("Página Web"='03.Muestra'!$D$8:$D$42,ROW('03.Muestra'!$F$8:$F$42)-MIN(ROW('03.Muestra'!$D$8:$D$42))+1,""),ROW()-56)),"")</f>
        <v>https://www.comunidad.madrid/hospital/clinicosancarlos/nosotros/proveedores-0</v>
      </c>
      <c r="D69" s="130" t="s">
        <v>28</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Aviso legal</v>
      </c>
      <c r="C70" s="114" t="str" cm="1">
        <f t="array" ref="C70">IFERROR(INDEX('03.Muestra'!$F$8:$F$42,SMALL(IF("Página Web"='03.Muestra'!$D$8:$D$42,ROW('03.Muestra'!$F$8:$F$42)-MIN(ROW('03.Muestra'!$D$8:$D$42))+1,""),ROW()-56)),"")</f>
        <v>https://www.comunidad.madrid/hospital/clinicosancarlos/aviso-legal-privacidad</v>
      </c>
      <c r="D70" s="130" t="s">
        <v>28</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Mapa web</v>
      </c>
      <c r="C71" s="114" t="str" cm="1">
        <f t="array" ref="C71">IFERROR(INDEX('03.Muestra'!$F$8:$F$42,SMALL(IF("Página Web"='03.Muestra'!$D$8:$D$42,ROW('03.Muestra'!$F$8:$F$42)-MIN(ROW('03.Muestra'!$D$8:$D$42))+1,""),ROW()-56)),"")</f>
        <v>https://www.comunidad.madrid/hospital/clinicosancarlos/sitemap</v>
      </c>
      <c r="D71" s="130" t="s">
        <v>28</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Accesibilidad</v>
      </c>
      <c r="C72" s="114" t="str" cm="1">
        <f t="array" ref="C72">IFERROR(INDEX('03.Muestra'!$F$8:$F$42,SMALL(IF("Página Web"='03.Muestra'!$D$8:$D$42,ROW('03.Muestra'!$F$8:$F$42)-MIN(ROW('03.Muestra'!$D$8:$D$42))+1,""),ROW()-56)),"")</f>
        <v>https://www.comunidad.madrid/hospital/clinicosancarlos/declaracion-accesibilidad</v>
      </c>
      <c r="D72" s="130" t="s">
        <v>28</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94</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https://www.comunidad.madrid/hospital/clinicosancarlos/</v>
      </c>
      <c r="D95" s="130" t="s">
        <v>26</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https://www.comunidad.madrid/hospital/clinicosancarlos/ciudadanos</v>
      </c>
      <c r="D96" s="130" t="s">
        <v>26</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16</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Consultas externas</v>
      </c>
      <c r="C97" s="114" t="str" cm="1">
        <f t="array" ref="C97">IFERROR(INDEX('03.Muestra'!$F$8:$F$42,SMALL(IF("Página Web"='03.Muestra'!$D$8:$D$42,ROW('03.Muestra'!$F$8:$F$42)-MIN(ROW('03.Muestra'!$D$8:$D$42))+1,""),ROW()-94)),"")</f>
        <v>https://www.comunidad.madrid/hospital/clinicosancarlos/ciudadanos/consultas-externas</v>
      </c>
      <c r="D97" s="130" t="s">
        <v>26</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Donación</v>
      </c>
      <c r="C98" s="114" t="str" cm="1">
        <f t="array" ref="C98">IFERROR(INDEX('03.Muestra'!$F$8:$F$42,SMALL(IF("Página Web"='03.Muestra'!$D$8:$D$42,ROW('03.Muestra'!$F$8:$F$42)-MIN(ROW('03.Muestra'!$D$8:$D$42))+1,""),ROW()-94)),"")</f>
        <v>https://www.comunidad.madrid/hospital/clinicosancarlos/ciudadanos/donacion-0</v>
      </c>
      <c r="D98" s="130" t="s">
        <v>26</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https://www.comunidad.madrid/hospital/clinicosancarlos/profesionales</v>
      </c>
      <c r="D99" s="130" t="s">
        <v>26</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Docencia</v>
      </c>
      <c r="C100" s="114" t="str" cm="1">
        <f t="array" ref="C100">IFERROR(INDEX('03.Muestra'!$F$8:$F$42,SMALL(IF("Página Web"='03.Muestra'!$D$8:$D$42,ROW('03.Muestra'!$F$8:$F$42)-MIN(ROW('03.Muestra'!$D$8:$D$42))+1,""),ROW()-94)),"")</f>
        <v>https://www.comunidad.madrid/hospital/clinicosancarlos/profesionales/docencia</v>
      </c>
      <c r="D100" s="130" t="s">
        <v>26</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Referencia</v>
      </c>
      <c r="C101" s="114" t="str" cm="1">
        <f t="array" ref="C101">IFERROR(INDEX('03.Muestra'!$F$8:$F$42,SMALL(IF("Página Web"='03.Muestra'!$D$8:$D$42,ROW('03.Muestra'!$F$8:$F$42)-MIN(ROW('03.Muestra'!$D$8:$D$42))+1,""),ROW()-94)),"")</f>
        <v>https://www.comunidad.madrid/hospital/clinicosancarlos/profesionales/unidades-referencia-nacional-redes-europeas</v>
      </c>
      <c r="D101" s="130" t="s">
        <v>26</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Comunicación</v>
      </c>
      <c r="C102" s="114" t="str" cm="1">
        <f t="array" ref="C102">IFERROR(INDEX('03.Muestra'!$F$8:$F$42,SMALL(IF("Página Web"='03.Muestra'!$D$8:$D$42,ROW('03.Muestra'!$F$8:$F$42)-MIN(ROW('03.Muestra'!$D$8:$D$42))+1,""),ROW()-94)),"")</f>
        <v>https://www.comunidad.madrid/hospital/clinicosancarlos/comunicacion</v>
      </c>
      <c r="D102" s="130" t="s">
        <v>26</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Videoteca</v>
      </c>
      <c r="C103" s="114" t="str" cm="1">
        <f t="array" ref="C103">IFERROR(INDEX('03.Muestra'!$F$8:$F$42,SMALL(IF("Página Web"='03.Muestra'!$D$8:$D$42,ROW('03.Muestra'!$F$8:$F$42)-MIN(ROW('03.Muestra'!$D$8:$D$42))+1,""),ROW()-94)),"")</f>
        <v>https://www.comunidad.madrid/hospital/clinicosancarlos/comunicacion/videoteca</v>
      </c>
      <c r="D103" s="130" t="s">
        <v>26</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Noticias</v>
      </c>
      <c r="C104" s="114" t="str" cm="1">
        <f t="array" ref="C104">IFERROR(INDEX('03.Muestra'!$F$8:$F$42,SMALL(IF("Página Web"='03.Muestra'!$D$8:$D$42,ROW('03.Muestra'!$F$8:$F$42)-MIN(ROW('03.Muestra'!$D$8:$D$42))+1,""),ROW()-94)),"")</f>
        <v>https://www.comunidad.madrid/hospital/clinicosancarlos/comunicacion/noticias</v>
      </c>
      <c r="D104" s="130" t="s">
        <v>26</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Nosotros</v>
      </c>
      <c r="C105" s="114" t="str" cm="1">
        <f t="array" ref="C105">IFERROR(INDEX('03.Muestra'!$F$8:$F$42,SMALL(IF("Página Web"='03.Muestra'!$D$8:$D$42,ROW('03.Muestra'!$F$8:$F$42)-MIN(ROW('03.Muestra'!$D$8:$D$42))+1,""),ROW()-94)),"")</f>
        <v>https://www.comunidad.madrid/hospital/clinicosancarlos/nosotros</v>
      </c>
      <c r="D105" s="130" t="s">
        <v>26</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Gestión Ambiental</v>
      </c>
      <c r="C106" s="114" t="str" cm="1">
        <f t="array" ref="C106">IFERROR(INDEX('03.Muestra'!$F$8:$F$42,SMALL(IF("Página Web"='03.Muestra'!$D$8:$D$42,ROW('03.Muestra'!$F$8:$F$42)-MIN(ROW('03.Muestra'!$D$8:$D$42))+1,""),ROW()-94)),"")</f>
        <v>https://www.comunidad.madrid/hospital/clinicosancarlos/nosotros/gestion-ambiental</v>
      </c>
      <c r="D106" s="130" t="s">
        <v>26</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Proveedores</v>
      </c>
      <c r="C107" s="114" t="str" cm="1">
        <f t="array" ref="C107">IFERROR(INDEX('03.Muestra'!$F$8:$F$42,SMALL(IF("Página Web"='03.Muestra'!$D$8:$D$42,ROW('03.Muestra'!$F$8:$F$42)-MIN(ROW('03.Muestra'!$D$8:$D$42))+1,""),ROW()-94)),"")</f>
        <v>https://www.comunidad.madrid/hospital/clinicosancarlos/nosotros/proveedores-0</v>
      </c>
      <c r="D107" s="130" t="s">
        <v>26</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Aviso legal</v>
      </c>
      <c r="C108" s="114" t="str" cm="1">
        <f t="array" ref="C108">IFERROR(INDEX('03.Muestra'!$F$8:$F$42,SMALL(IF("Página Web"='03.Muestra'!$D$8:$D$42,ROW('03.Muestra'!$F$8:$F$42)-MIN(ROW('03.Muestra'!$D$8:$D$42))+1,""),ROW()-94)),"")</f>
        <v>https://www.comunidad.madrid/hospital/clinicosancarlos/aviso-legal-privacidad</v>
      </c>
      <c r="D108" s="130" t="s">
        <v>26</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Mapa web</v>
      </c>
      <c r="C109" s="114" t="str" cm="1">
        <f t="array" ref="C109">IFERROR(INDEX('03.Muestra'!$F$8:$F$42,SMALL(IF("Página Web"='03.Muestra'!$D$8:$D$42,ROW('03.Muestra'!$F$8:$F$42)-MIN(ROW('03.Muestra'!$D$8:$D$42))+1,""),ROW()-94)),"")</f>
        <v>https://www.comunidad.madrid/hospital/clinicosancarlos/sitemap</v>
      </c>
      <c r="D109" s="130" t="s">
        <v>26</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Accesibilidad</v>
      </c>
      <c r="C110" s="114" t="str" cm="1">
        <f t="array" ref="C110">IFERROR(INDEX('03.Muestra'!$F$8:$F$42,SMALL(IF("Página Web"='03.Muestra'!$D$8:$D$42,ROW('03.Muestra'!$F$8:$F$42)-MIN(ROW('03.Muestra'!$D$8:$D$42))+1,""),ROW()-94)),"")</f>
        <v>https://www.comunidad.madrid/hospital/clinicosancarlos/declaracion-accesibilidad</v>
      </c>
      <c r="D110" s="130" t="s">
        <v>26</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95</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https://www.comunidad.madrid/hospital/clinicosancarlos/</v>
      </c>
      <c r="D133" s="130" t="s">
        <v>28</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https://www.comunidad.madrid/hospital/clinicosancarlos/ciudadanos</v>
      </c>
      <c r="D134" s="130" t="s">
        <v>28</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16</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Consultas externas</v>
      </c>
      <c r="C135" s="114" t="str" cm="1">
        <f t="array" ref="C135">IFERROR(INDEX('03.Muestra'!$F$8:$F$42,SMALL(IF("Página Web"='03.Muestra'!$D$8:$D$42,ROW('03.Muestra'!$F$8:$F$42)-MIN(ROW('03.Muestra'!$D$8:$D$42))+1,""),ROW()-132)),"")</f>
        <v>https://www.comunidad.madrid/hospital/clinicosancarlos/ciudadanos/consultas-externas</v>
      </c>
      <c r="D135" s="130" t="s">
        <v>28</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Donación</v>
      </c>
      <c r="C136" s="114" t="str" cm="1">
        <f t="array" ref="C136">IFERROR(INDEX('03.Muestra'!$F$8:$F$42,SMALL(IF("Página Web"='03.Muestra'!$D$8:$D$42,ROW('03.Muestra'!$F$8:$F$42)-MIN(ROW('03.Muestra'!$D$8:$D$42))+1,""),ROW()-132)),"")</f>
        <v>https://www.comunidad.madrid/hospital/clinicosancarlos/ciudadanos/donacion-0</v>
      </c>
      <c r="D136" s="130" t="s">
        <v>28</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https://www.comunidad.madrid/hospital/clinicosancarlos/profesionales</v>
      </c>
      <c r="D137" s="130" t="s">
        <v>28</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Docencia</v>
      </c>
      <c r="C138" s="114" t="str" cm="1">
        <f t="array" ref="C138">IFERROR(INDEX('03.Muestra'!$F$8:$F$42,SMALL(IF("Página Web"='03.Muestra'!$D$8:$D$42,ROW('03.Muestra'!$F$8:$F$42)-MIN(ROW('03.Muestra'!$D$8:$D$42))+1,""),ROW()-132)),"")</f>
        <v>https://www.comunidad.madrid/hospital/clinicosancarlos/profesionales/docencia</v>
      </c>
      <c r="D138" s="130" t="s">
        <v>28</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Referencia</v>
      </c>
      <c r="C139" s="114" t="str" cm="1">
        <f t="array" ref="C139">IFERROR(INDEX('03.Muestra'!$F$8:$F$42,SMALL(IF("Página Web"='03.Muestra'!$D$8:$D$42,ROW('03.Muestra'!$F$8:$F$42)-MIN(ROW('03.Muestra'!$D$8:$D$42))+1,""),ROW()-132)),"")</f>
        <v>https://www.comunidad.madrid/hospital/clinicosancarlos/profesionales/unidades-referencia-nacional-redes-europeas</v>
      </c>
      <c r="D139" s="130" t="s">
        <v>28</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Comunicación</v>
      </c>
      <c r="C140" s="114" t="str" cm="1">
        <f t="array" ref="C140">IFERROR(INDEX('03.Muestra'!$F$8:$F$42,SMALL(IF("Página Web"='03.Muestra'!$D$8:$D$42,ROW('03.Muestra'!$F$8:$F$42)-MIN(ROW('03.Muestra'!$D$8:$D$42))+1,""),ROW()-132)),"")</f>
        <v>https://www.comunidad.madrid/hospital/clinicosancarlos/comunicacion</v>
      </c>
      <c r="D140" s="130" t="s">
        <v>28</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Videoteca</v>
      </c>
      <c r="C141" s="114" t="str" cm="1">
        <f t="array" ref="C141">IFERROR(INDEX('03.Muestra'!$F$8:$F$42,SMALL(IF("Página Web"='03.Muestra'!$D$8:$D$42,ROW('03.Muestra'!$F$8:$F$42)-MIN(ROW('03.Muestra'!$D$8:$D$42))+1,""),ROW()-132)),"")</f>
        <v>https://www.comunidad.madrid/hospital/clinicosancarlos/comunicacion/videoteca</v>
      </c>
      <c r="D141" s="130" t="s">
        <v>28</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Noticias</v>
      </c>
      <c r="C142" s="114" t="str" cm="1">
        <f t="array" ref="C142">IFERROR(INDEX('03.Muestra'!$F$8:$F$42,SMALL(IF("Página Web"='03.Muestra'!$D$8:$D$42,ROW('03.Muestra'!$F$8:$F$42)-MIN(ROW('03.Muestra'!$D$8:$D$42))+1,""),ROW()-132)),"")</f>
        <v>https://www.comunidad.madrid/hospital/clinicosancarlos/comunicacion/noticias</v>
      </c>
      <c r="D142" s="130" t="s">
        <v>28</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Nosotros</v>
      </c>
      <c r="C143" s="114" t="str" cm="1">
        <f t="array" ref="C143">IFERROR(INDEX('03.Muestra'!$F$8:$F$42,SMALL(IF("Página Web"='03.Muestra'!$D$8:$D$42,ROW('03.Muestra'!$F$8:$F$42)-MIN(ROW('03.Muestra'!$D$8:$D$42))+1,""),ROW()-132)),"")</f>
        <v>https://www.comunidad.madrid/hospital/clinicosancarlos/nosotros</v>
      </c>
      <c r="D143" s="130" t="s">
        <v>28</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Gestión Ambiental</v>
      </c>
      <c r="C144" s="114" t="str" cm="1">
        <f t="array" ref="C144">IFERROR(INDEX('03.Muestra'!$F$8:$F$42,SMALL(IF("Página Web"='03.Muestra'!$D$8:$D$42,ROW('03.Muestra'!$F$8:$F$42)-MIN(ROW('03.Muestra'!$D$8:$D$42))+1,""),ROW()-132)),"")</f>
        <v>https://www.comunidad.madrid/hospital/clinicosancarlos/nosotros/gestion-ambiental</v>
      </c>
      <c r="D144" s="130" t="s">
        <v>28</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Proveedores</v>
      </c>
      <c r="C145" s="114" t="str" cm="1">
        <f t="array" ref="C145">IFERROR(INDEX('03.Muestra'!$F$8:$F$42,SMALL(IF("Página Web"='03.Muestra'!$D$8:$D$42,ROW('03.Muestra'!$F$8:$F$42)-MIN(ROW('03.Muestra'!$D$8:$D$42))+1,""),ROW()-132)),"")</f>
        <v>https://www.comunidad.madrid/hospital/clinicosancarlos/nosotros/proveedores-0</v>
      </c>
      <c r="D145" s="130" t="s">
        <v>28</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Aviso legal</v>
      </c>
      <c r="C146" s="114" t="str" cm="1">
        <f t="array" ref="C146">IFERROR(INDEX('03.Muestra'!$F$8:$F$42,SMALL(IF("Página Web"='03.Muestra'!$D$8:$D$42,ROW('03.Muestra'!$F$8:$F$42)-MIN(ROW('03.Muestra'!$D$8:$D$42))+1,""),ROW()-132)),"")</f>
        <v>https://www.comunidad.madrid/hospital/clinicosancarlos/aviso-legal-privacidad</v>
      </c>
      <c r="D146" s="130" t="s">
        <v>28</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Mapa web</v>
      </c>
      <c r="C147" s="114" t="str" cm="1">
        <f t="array" ref="C147">IFERROR(INDEX('03.Muestra'!$F$8:$F$42,SMALL(IF("Página Web"='03.Muestra'!$D$8:$D$42,ROW('03.Muestra'!$F$8:$F$42)-MIN(ROW('03.Muestra'!$D$8:$D$42))+1,""),ROW()-132)),"")</f>
        <v>https://www.comunidad.madrid/hospital/clinicosancarlos/sitemap</v>
      </c>
      <c r="D147" s="130" t="s">
        <v>28</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Accesibilidad</v>
      </c>
      <c r="C148" s="114" t="str" cm="1">
        <f t="array" ref="C148">IFERROR(INDEX('03.Muestra'!$F$8:$F$42,SMALL(IF("Página Web"='03.Muestra'!$D$8:$D$42,ROW('03.Muestra'!$F$8:$F$42)-MIN(ROW('03.Muestra'!$D$8:$D$42))+1,""),ROW()-132)),"")</f>
        <v>https://www.comunidad.madrid/hospital/clinicosancarlos/declaracion-accesibilidad</v>
      </c>
      <c r="D148" s="130" t="s">
        <v>28</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96</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https://www.comunidad.madrid/hospital/clinicosancarlos/</v>
      </c>
      <c r="D171" s="130" t="s">
        <v>28</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https://www.comunidad.madrid/hospital/clinicosancarlos/ciudadanos</v>
      </c>
      <c r="D172" s="130" t="s">
        <v>28</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16</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Consultas externas</v>
      </c>
      <c r="C173" s="114" t="str" cm="1">
        <f t="array" ref="C173">IFERROR(INDEX('03.Muestra'!$F$8:$F$42,SMALL(IF("Página Web"='03.Muestra'!$D$8:$D$42,ROW('03.Muestra'!$F$8:$F$42)-MIN(ROW('03.Muestra'!$D$8:$D$42))+1,""),ROW()-170)),"")</f>
        <v>https://www.comunidad.madrid/hospital/clinicosancarlos/ciudadanos/consultas-externas</v>
      </c>
      <c r="D173" s="130" t="s">
        <v>28</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Donación</v>
      </c>
      <c r="C174" s="114" t="str" cm="1">
        <f t="array" ref="C174">IFERROR(INDEX('03.Muestra'!$F$8:$F$42,SMALL(IF("Página Web"='03.Muestra'!$D$8:$D$42,ROW('03.Muestra'!$F$8:$F$42)-MIN(ROW('03.Muestra'!$D$8:$D$42))+1,""),ROW()-170)),"")</f>
        <v>https://www.comunidad.madrid/hospital/clinicosancarlos/ciudadanos/donacion-0</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https://www.comunidad.madrid/hospital/clinicosancarlos/profesionales</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Docencia</v>
      </c>
      <c r="C176" s="114" t="str" cm="1">
        <f t="array" ref="C176">IFERROR(INDEX('03.Muestra'!$F$8:$F$42,SMALL(IF("Página Web"='03.Muestra'!$D$8:$D$42,ROW('03.Muestra'!$F$8:$F$42)-MIN(ROW('03.Muestra'!$D$8:$D$42))+1,""),ROW()-170)),"")</f>
        <v>https://www.comunidad.madrid/hospital/clinicosancarlos/profesionales/docencia</v>
      </c>
      <c r="D176" s="130" t="s">
        <v>28</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Referencia</v>
      </c>
      <c r="C177" s="114" t="str" cm="1">
        <f t="array" ref="C177">IFERROR(INDEX('03.Muestra'!$F$8:$F$42,SMALL(IF("Página Web"='03.Muestra'!$D$8:$D$42,ROW('03.Muestra'!$F$8:$F$42)-MIN(ROW('03.Muestra'!$D$8:$D$42))+1,""),ROW()-170)),"")</f>
        <v>https://www.comunidad.madrid/hospital/clinicosancarlos/profesionales/unidades-referencia-nacional-redes-europeas</v>
      </c>
      <c r="D177" s="130" t="s">
        <v>28</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Comunicación</v>
      </c>
      <c r="C178" s="114" t="str" cm="1">
        <f t="array" ref="C178">IFERROR(INDEX('03.Muestra'!$F$8:$F$42,SMALL(IF("Página Web"='03.Muestra'!$D$8:$D$42,ROW('03.Muestra'!$F$8:$F$42)-MIN(ROW('03.Muestra'!$D$8:$D$42))+1,""),ROW()-170)),"")</f>
        <v>https://www.comunidad.madrid/hospital/clinicosancarlos/comunicacion</v>
      </c>
      <c r="D178" s="130" t="s">
        <v>28</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Videoteca</v>
      </c>
      <c r="C179" s="114" t="str" cm="1">
        <f t="array" ref="C179">IFERROR(INDEX('03.Muestra'!$F$8:$F$42,SMALL(IF("Página Web"='03.Muestra'!$D$8:$D$42,ROW('03.Muestra'!$F$8:$F$42)-MIN(ROW('03.Muestra'!$D$8:$D$42))+1,""),ROW()-170)),"")</f>
        <v>https://www.comunidad.madrid/hospital/clinicosancarlos/comunicacion/videoteca</v>
      </c>
      <c r="D179" s="130" t="s">
        <v>28</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Noticias</v>
      </c>
      <c r="C180" s="114" t="str" cm="1">
        <f t="array" ref="C180">IFERROR(INDEX('03.Muestra'!$F$8:$F$42,SMALL(IF("Página Web"='03.Muestra'!$D$8:$D$42,ROW('03.Muestra'!$F$8:$F$42)-MIN(ROW('03.Muestra'!$D$8:$D$42))+1,""),ROW()-170)),"")</f>
        <v>https://www.comunidad.madrid/hospital/clinicosancarlos/comunicacion/noticias</v>
      </c>
      <c r="D180" s="130" t="s">
        <v>28</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Nosotros</v>
      </c>
      <c r="C181" s="114" t="str" cm="1">
        <f t="array" ref="C181">IFERROR(INDEX('03.Muestra'!$F$8:$F$42,SMALL(IF("Página Web"='03.Muestra'!$D$8:$D$42,ROW('03.Muestra'!$F$8:$F$42)-MIN(ROW('03.Muestra'!$D$8:$D$42))+1,""),ROW()-170)),"")</f>
        <v>https://www.comunidad.madrid/hospital/clinicosancarlos/nosotros</v>
      </c>
      <c r="D181" s="130" t="s">
        <v>28</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Gestión Ambiental</v>
      </c>
      <c r="C182" s="114" t="str" cm="1">
        <f t="array" ref="C182">IFERROR(INDEX('03.Muestra'!$F$8:$F$42,SMALL(IF("Página Web"='03.Muestra'!$D$8:$D$42,ROW('03.Muestra'!$F$8:$F$42)-MIN(ROW('03.Muestra'!$D$8:$D$42))+1,""),ROW()-170)),"")</f>
        <v>https://www.comunidad.madrid/hospital/clinicosancarlos/nosotros/gestion-ambiental</v>
      </c>
      <c r="D182" s="130" t="s">
        <v>28</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Proveedores</v>
      </c>
      <c r="C183" s="114" t="str" cm="1">
        <f t="array" ref="C183">IFERROR(INDEX('03.Muestra'!$F$8:$F$42,SMALL(IF("Página Web"='03.Muestra'!$D$8:$D$42,ROW('03.Muestra'!$F$8:$F$42)-MIN(ROW('03.Muestra'!$D$8:$D$42))+1,""),ROW()-170)),"")</f>
        <v>https://www.comunidad.madrid/hospital/clinicosancarlos/nosotros/proveedores-0</v>
      </c>
      <c r="D183" s="130" t="s">
        <v>28</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Aviso legal</v>
      </c>
      <c r="C184" s="114" t="str" cm="1">
        <f t="array" ref="C184">IFERROR(INDEX('03.Muestra'!$F$8:$F$42,SMALL(IF("Página Web"='03.Muestra'!$D$8:$D$42,ROW('03.Muestra'!$F$8:$F$42)-MIN(ROW('03.Muestra'!$D$8:$D$42))+1,""),ROW()-170)),"")</f>
        <v>https://www.comunidad.madrid/hospital/clinicosancarlos/aviso-legal-privacidad</v>
      </c>
      <c r="D184" s="130" t="s">
        <v>28</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Mapa web</v>
      </c>
      <c r="C185" s="114" t="str" cm="1">
        <f t="array" ref="C185">IFERROR(INDEX('03.Muestra'!$F$8:$F$42,SMALL(IF("Página Web"='03.Muestra'!$D$8:$D$42,ROW('03.Muestra'!$F$8:$F$42)-MIN(ROW('03.Muestra'!$D$8:$D$42))+1,""),ROW()-170)),"")</f>
        <v>https://www.comunidad.madrid/hospital/clinicosancarlos/sitemap</v>
      </c>
      <c r="D185" s="130" t="s">
        <v>28</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Accesibilidad</v>
      </c>
      <c r="C186" s="114" t="str" cm="1">
        <f t="array" ref="C186">IFERROR(INDEX('03.Muestra'!$F$8:$F$42,SMALL(IF("Página Web"='03.Muestra'!$D$8:$D$42,ROW('03.Muestra'!$F$8:$F$42)-MIN(ROW('03.Muestra'!$D$8:$D$42))+1,""),ROW()-170)),"")</f>
        <v>https://www.comunidad.madrid/hospital/clinicosancarlos/declaracion-accesibilidad</v>
      </c>
      <c r="D186" s="130" t="s">
        <v>28</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F19:J19 F57:J57 F95:J95 F133:J133 F171:J171 D19:D53 D57:D91 D95:D129 D133:D167 D171:D205">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B1:CX96"/>
  <sheetViews>
    <sheetView zoomScale="70" zoomScaleNormal="70" workbookViewId="0">
      <selection activeCell="F17" sqref="F17"/>
    </sheetView>
  </sheetViews>
  <sheetFormatPr baseColWidth="10" defaultColWidth="11.5703125" defaultRowHeight="12.75"/>
  <cols>
    <col min="1" max="1" width="3.140625" style="14" customWidth="1"/>
    <col min="2" max="2" width="9.140625" style="113" customWidth="1"/>
    <col min="3" max="3" width="18.5703125" style="102" customWidth="1"/>
    <col min="4" max="4" width="59.28515625" style="14" customWidth="1"/>
    <col min="5" max="29" width="16.42578125" style="14" customWidth="1"/>
    <col min="30" max="106" width="19.5703125" style="14" customWidth="1"/>
    <col min="107" max="16384" width="11.570312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278</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39</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149999999999999" customHeight="1" thickBot="1">
      <c r="B6" s="178"/>
      <c r="C6" s="67"/>
      <c r="D6" s="67"/>
      <c r="E6" s="67"/>
      <c r="F6" s="67"/>
      <c r="G6" s="67"/>
      <c r="H6" s="67"/>
      <c r="I6" s="67"/>
      <c r="J6" s="67"/>
      <c r="K6" s="275" t="s">
        <v>40</v>
      </c>
      <c r="L6" s="275"/>
      <c r="M6" s="275"/>
      <c r="N6" s="67"/>
      <c r="O6" s="275" t="s">
        <v>41</v>
      </c>
      <c r="P6" s="275"/>
      <c r="Q6" s="275"/>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15" customHeight="1">
      <c r="C7" s="276" t="s">
        <v>152</v>
      </c>
      <c r="D7" s="277"/>
      <c r="E7" s="44" t="s">
        <v>42</v>
      </c>
      <c r="F7" s="44" t="s">
        <v>43</v>
      </c>
      <c r="G7" s="44" t="s">
        <v>31</v>
      </c>
      <c r="H7" s="44" t="s">
        <v>44</v>
      </c>
      <c r="I7" s="45" t="s">
        <v>45</v>
      </c>
      <c r="J7" s="235" t="s">
        <v>477</v>
      </c>
      <c r="K7" s="50" t="s">
        <v>46</v>
      </c>
      <c r="L7" s="141" t="s">
        <v>360</v>
      </c>
      <c r="M7" s="51" t="s">
        <v>24</v>
      </c>
      <c r="O7" s="50" t="s">
        <v>46</v>
      </c>
      <c r="P7" s="141" t="s">
        <v>360</v>
      </c>
      <c r="Q7" s="51" t="s">
        <v>24</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149999999999999" customHeight="1">
      <c r="C8" s="278" t="s">
        <v>361</v>
      </c>
      <c r="D8" s="279"/>
      <c r="E8" s="46" t="str">
        <f ca="1">CONCATENATE(COUNTIF(E55:CR55,"CONFORME")," (",ROUND(COUNTIF(E55:CR55,"CONFORME")*100/COUNTA($E$19:CR$19),2)," %)")</f>
        <v>26 (28,26 %)</v>
      </c>
      <c r="F8" s="140" t="str">
        <f ca="1">CONCATENATE(COUNTIF(E55:CR55,"NO CONFORME")," (",ROUND(COUNTIF(E55:CR55,"NO CONFORME")*100/COUNTA($E$19:CR$19),2)," %)")</f>
        <v>14 (15,22 %)</v>
      </c>
      <c r="G8" s="47" t="str">
        <f ca="1">CONCATENATE(COUNTIF(E55:CR55,"N/A")," (",ROUND(COUNTIF(E55:CR55,"N/A")*100/COUNTA($E$19:CR$19),2)," %)")</f>
        <v>52 (56,52 %)</v>
      </c>
      <c r="H8" s="47">
        <f ca="1">COUNTIF(E55:CR55,"ERROR")</f>
        <v>0</v>
      </c>
      <c r="I8" s="48">
        <f ca="1">COUNTIF(E55:CR55,"EN CURSO")</f>
        <v>0</v>
      </c>
      <c r="J8" s="236">
        <f ca="1">SUM(VALUE(LEFT(E8,SEARCH(" ",E8)-1)),VALUE(LEFT(F8,SEARCH(" ",F8)-1)))</f>
        <v>40</v>
      </c>
      <c r="K8" s="52" t="s">
        <v>47</v>
      </c>
      <c r="L8" s="46">
        <f ca="1">COUNTIF( $E$20:INDIRECT("$CR$" &amp;  SUM(19,COUNTIFS(B20:B54,"&lt;&gt;"))),"Pasa")+ COUNTIF($E$61:INDIRECT("$AW$" &amp;  SUM(60,COUNTIFS(B61:B95,"&lt;&gt;"))),"Pasa")</f>
        <v>383</v>
      </c>
      <c r="M8" s="53">
        <f ca="1">IF(($L$11+$P$11)=0,0,L8/($L$11+$P$11))</f>
        <v>0.26019021739130432</v>
      </c>
      <c r="N8" s="28"/>
      <c r="O8" s="52" t="s">
        <v>27</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149999999999999" customHeight="1">
      <c r="B9" s="240"/>
      <c r="C9" s="284" t="s">
        <v>154</v>
      </c>
      <c r="D9" s="285"/>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28</v>
      </c>
      <c r="L9" s="46">
        <f ca="1">COUNTIF( $E$20:INDIRECT("$CR$" &amp;  SUM(19,COUNTIFS(B20:B54,"&lt;&gt;"))),"Falla")+ COUNTIF($E$61:INDIRECT("$AW$" &amp;  SUM(60,COUNTIFS(B61:B95,"&lt;&gt;"))),"Falla")</f>
        <v>176</v>
      </c>
      <c r="M9" s="53">
        <f ca="1">IF(($L$11+$P$11)=0,0,L9/($L$11+$P$11))</f>
        <v>0.11956521739130435</v>
      </c>
      <c r="N9" s="28"/>
      <c r="O9" s="52" t="s">
        <v>29</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149999999999999" customHeight="1" thickBot="1">
      <c r="C10" s="289" t="s">
        <v>340</v>
      </c>
      <c r="D10" s="290"/>
      <c r="E10" s="241" t="str">
        <f ca="1">CONCATENATE(ROUND(E11/137*100,2)," %")</f>
        <v>18,98 %</v>
      </c>
      <c r="F10" s="241" t="str">
        <f ca="1">CONCATENATE(ROUND(F11/137*100,2)," %")</f>
        <v>10,22 %</v>
      </c>
      <c r="G10" s="241" t="str">
        <f ca="1">CONCATENATE(ROUND(G11/137*100,2)," %")</f>
        <v>70,8 %</v>
      </c>
      <c r="H10" s="241" t="str">
        <f ca="1">CONCATENATE(ROUND(H11/137*100,2)," %")</f>
        <v>0 %</v>
      </c>
      <c r="I10" s="243" t="str">
        <f ca="1">CONCATENATE(ROUND(I11/137*100,2)," %")</f>
        <v>0 %</v>
      </c>
      <c r="J10" s="244"/>
      <c r="K10" s="52" t="s">
        <v>31</v>
      </c>
      <c r="L10" s="46">
        <f ca="1">COUNTIF( $E$20:INDIRECT("$CR$" &amp;  SUM(19,COUNTIFS(B20:B54,"&lt;&gt;"))),"N/A")+COUNTIF($E$61:INDIRECT("$AW$" &amp;  SUM(60,COUNTIFS(B61:B95,"&lt;&gt;"))),"N/A")</f>
        <v>913</v>
      </c>
      <c r="M10" s="53">
        <f ca="1">IF(($L$11+$P$11)=0,0,L10/($L$11+$P$11))</f>
        <v>0.62024456521739135</v>
      </c>
      <c r="N10" s="28"/>
      <c r="O10" s="183" t="s">
        <v>474</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149999999999999" customHeight="1" thickBot="1">
      <c r="C11" s="283"/>
      <c r="D11" s="283"/>
      <c r="E11" s="242">
        <f ca="1">SUM(VALUE(LEFT(E8,SEARCH(" ",E8)-1)),VALUE(LEFT(E9,SEARCH(" ",E9)-1)))</f>
        <v>26</v>
      </c>
      <c r="F11" s="242">
        <f ca="1">SUM(VALUE(LEFT(F8,SEARCH(" ",F8)-1)),VALUE(LEFT(F9,SEARCH(" ",F9)-1)))</f>
        <v>14</v>
      </c>
      <c r="G11" s="242">
        <f ca="1">SUM(VALUE(LEFT(G8,SEARCH(" ",G8)-1)),VALUE(LEFT(G9,SEARCH(" ",G9)-1)))</f>
        <v>97</v>
      </c>
      <c r="H11" s="242">
        <f ca="1">SUM(H8:H9)</f>
        <v>0</v>
      </c>
      <c r="I11" s="242">
        <f ca="1">SUM(I8:I9)</f>
        <v>0</v>
      </c>
      <c r="K11" s="54" t="s">
        <v>48</v>
      </c>
      <c r="L11" s="49">
        <f ca="1">SUM(L8:L10)</f>
        <v>1472</v>
      </c>
      <c r="M11" s="55">
        <f ca="1">SUM(M8:M10)</f>
        <v>1</v>
      </c>
      <c r="N11" s="28"/>
      <c r="O11" s="54" t="s">
        <v>48</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149999999999999"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65" customHeight="1" thickTop="1">
      <c r="B13" s="180"/>
      <c r="C13" s="180"/>
      <c r="D13" s="182" t="s">
        <v>49</v>
      </c>
      <c r="E13" s="91"/>
      <c r="F13" s="286" t="s">
        <v>339</v>
      </c>
      <c r="G13" s="287"/>
      <c r="H13" s="287"/>
      <c r="I13" s="288"/>
      <c r="J13" s="91"/>
      <c r="K13" s="286" t="s">
        <v>273</v>
      </c>
      <c r="L13" s="288"/>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65"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80">
        <f ca="1">IF(AND(D14&lt;&gt;"Evaluación en curso",D14&lt;&gt;"Evaluación con errores",D14&lt;&gt;""), IF(J8=0,"", ROUND(((COUNT(B20:B54)/(COUNT(B20:B54)+COUNT(B61:B95)))*IF(J8=0,0,LEFT(E8,SEARCH(" ",E8)-1)/J8)+(COUNT(B61:B95)/(COUNT(B20:B54)+COUNT(B61:B95)))*IF(J9=0,0,LEFT(E9,SEARCH(" ",E9)-1)/J9))*10,2)),"")</f>
        <v>6.5</v>
      </c>
      <c r="G14" s="281"/>
      <c r="H14" s="281"/>
      <c r="I14" s="282"/>
      <c r="J14" s="91"/>
      <c r="K14" s="280" t="str">
        <f>'03.Muestra'!D52</f>
        <v>SI</v>
      </c>
      <c r="L14" s="282"/>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2"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2"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71" t="s">
        <v>361</v>
      </c>
      <c r="C17" s="272"/>
      <c r="D17" s="273"/>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68" t="s">
        <v>50</v>
      </c>
      <c r="C18" s="269"/>
      <c r="D18" s="270"/>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268</v>
      </c>
      <c r="C19" s="96" t="s">
        <v>129</v>
      </c>
      <c r="D19" s="96" t="s">
        <v>363</v>
      </c>
      <c r="E19" s="96" t="s">
        <v>98</v>
      </c>
      <c r="F19" s="96" t="s">
        <v>99</v>
      </c>
      <c r="G19" s="96" t="s">
        <v>100</v>
      </c>
      <c r="H19" s="96" t="s">
        <v>101</v>
      </c>
      <c r="I19" s="96" t="s">
        <v>323</v>
      </c>
      <c r="J19" s="96" t="s">
        <v>324</v>
      </c>
      <c r="K19" s="96" t="s">
        <v>325</v>
      </c>
      <c r="L19" s="96" t="s">
        <v>326</v>
      </c>
      <c r="M19" s="96" t="s">
        <v>327</v>
      </c>
      <c r="N19" s="96" t="s">
        <v>328</v>
      </c>
      <c r="O19" s="96" t="s">
        <v>329</v>
      </c>
      <c r="P19" s="96" t="s">
        <v>330</v>
      </c>
      <c r="Q19" s="96" t="s">
        <v>331</v>
      </c>
      <c r="R19" s="96" t="s">
        <v>332</v>
      </c>
      <c r="S19" s="96" t="s">
        <v>102</v>
      </c>
      <c r="T19" s="96" t="s">
        <v>103</v>
      </c>
      <c r="U19" s="96" t="s">
        <v>333</v>
      </c>
      <c r="V19" s="96" t="s">
        <v>104</v>
      </c>
      <c r="W19" s="96" t="s">
        <v>105</v>
      </c>
      <c r="X19" s="96" t="s">
        <v>334</v>
      </c>
      <c r="Y19" s="96" t="s">
        <v>335</v>
      </c>
      <c r="Z19" s="96" t="s">
        <v>336</v>
      </c>
      <c r="AA19" s="96" t="s">
        <v>106</v>
      </c>
      <c r="AB19" s="96" t="s">
        <v>107</v>
      </c>
      <c r="AC19" s="96" t="s">
        <v>108</v>
      </c>
      <c r="AD19" s="96" t="s">
        <v>337</v>
      </c>
      <c r="AE19" s="96" t="s">
        <v>338</v>
      </c>
      <c r="AF19" s="96" t="s">
        <v>109</v>
      </c>
      <c r="AG19" s="96" t="s">
        <v>110</v>
      </c>
      <c r="AH19" s="96" t="s">
        <v>111</v>
      </c>
      <c r="AI19" s="96" t="s">
        <v>112</v>
      </c>
      <c r="AJ19" s="96" t="s">
        <v>155</v>
      </c>
      <c r="AK19" s="96" t="s">
        <v>156</v>
      </c>
      <c r="AL19" s="96" t="s">
        <v>157</v>
      </c>
      <c r="AM19" s="96" t="s">
        <v>158</v>
      </c>
      <c r="AN19" s="96" t="s">
        <v>159</v>
      </c>
      <c r="AO19" s="96" t="s">
        <v>160</v>
      </c>
      <c r="AP19" s="96" t="s">
        <v>161</v>
      </c>
      <c r="AQ19" s="96" t="s">
        <v>162</v>
      </c>
      <c r="AR19" s="96" t="s">
        <v>163</v>
      </c>
      <c r="AS19" s="96" t="s">
        <v>164</v>
      </c>
      <c r="AT19" s="96" t="s">
        <v>165</v>
      </c>
      <c r="AU19" s="96" t="s">
        <v>166</v>
      </c>
      <c r="AV19" s="96" t="s">
        <v>167</v>
      </c>
      <c r="AW19" s="96" t="s">
        <v>168</v>
      </c>
      <c r="AX19" s="96" t="s">
        <v>169</v>
      </c>
      <c r="AY19" s="96" t="s">
        <v>170</v>
      </c>
      <c r="AZ19" s="96" t="s">
        <v>171</v>
      </c>
      <c r="BA19" s="96" t="s">
        <v>172</v>
      </c>
      <c r="BB19" s="96" t="s">
        <v>173</v>
      </c>
      <c r="BC19" s="96" t="s">
        <v>174</v>
      </c>
      <c r="BD19" s="96" t="s">
        <v>175</v>
      </c>
      <c r="BE19" s="96" t="s">
        <v>176</v>
      </c>
      <c r="BF19" s="96" t="s">
        <v>177</v>
      </c>
      <c r="BG19" s="96" t="s">
        <v>178</v>
      </c>
      <c r="BH19" s="96" t="s">
        <v>179</v>
      </c>
      <c r="BI19" s="96" t="s">
        <v>241</v>
      </c>
      <c r="BJ19" s="96" t="s">
        <v>242</v>
      </c>
      <c r="BK19" s="96" t="s">
        <v>180</v>
      </c>
      <c r="BL19" s="96" t="s">
        <v>181</v>
      </c>
      <c r="BM19" s="96" t="s">
        <v>243</v>
      </c>
      <c r="BN19" s="96" t="s">
        <v>182</v>
      </c>
      <c r="BO19" s="96" t="s">
        <v>183</v>
      </c>
      <c r="BP19" s="96" t="s">
        <v>184</v>
      </c>
      <c r="BQ19" s="96" t="s">
        <v>185</v>
      </c>
      <c r="BR19" s="96" t="s">
        <v>186</v>
      </c>
      <c r="BS19" s="96" t="s">
        <v>187</v>
      </c>
      <c r="BT19" s="96" t="s">
        <v>188</v>
      </c>
      <c r="BU19" s="96" t="s">
        <v>244</v>
      </c>
      <c r="BV19" s="96" t="s">
        <v>189</v>
      </c>
      <c r="BW19" s="96" t="s">
        <v>190</v>
      </c>
      <c r="BX19" s="96" t="s">
        <v>245</v>
      </c>
      <c r="BY19" s="96" t="s">
        <v>246</v>
      </c>
      <c r="BZ19" s="96" t="s">
        <v>191</v>
      </c>
      <c r="CA19" s="96" t="s">
        <v>192</v>
      </c>
      <c r="CB19" s="96" t="s">
        <v>193</v>
      </c>
      <c r="CC19" s="96" t="s">
        <v>194</v>
      </c>
      <c r="CD19" s="96" t="s">
        <v>195</v>
      </c>
      <c r="CE19" s="96" t="s">
        <v>196</v>
      </c>
      <c r="CF19" s="96" t="s">
        <v>247</v>
      </c>
      <c r="CG19" s="96" t="s">
        <v>467</v>
      </c>
      <c r="CH19" s="96" t="s">
        <v>113</v>
      </c>
      <c r="CI19" s="96" t="s">
        <v>114</v>
      </c>
      <c r="CJ19" s="96" t="s">
        <v>115</v>
      </c>
      <c r="CK19" s="96" t="s">
        <v>116</v>
      </c>
      <c r="CL19" s="96" t="s">
        <v>117</v>
      </c>
      <c r="CM19" s="96" t="s">
        <v>118</v>
      </c>
      <c r="CN19" s="96" t="s">
        <v>119</v>
      </c>
      <c r="CO19" s="96" t="s">
        <v>120</v>
      </c>
      <c r="CP19" s="96" t="s">
        <v>121</v>
      </c>
      <c r="CQ19" s="96" t="s">
        <v>122</v>
      </c>
      <c r="CR19" s="96" t="s">
        <v>123</v>
      </c>
      <c r="CU19" s="29"/>
      <c r="CV19" s="29"/>
      <c r="CW19" s="29"/>
      <c r="CX19" s="29"/>
    </row>
    <row r="20" spans="2:102" ht="20.2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https://www.comunidad.madrid/hospital/clinicosancarlos/</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Falla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Falla</v>
      </c>
      <c r="AN20" s="215" t="str" cm="1">
        <f t="array" aca="1" ref="AN20" ca="1">IF($B20="","",IF(ISBLANK(INDIRECT("R9.Web!D"&amp;SUM(18,38*4,1))),"",INDIRECT("R9.Web!D"&amp;SUM(18,38*4,1))))</f>
        <v>Falla</v>
      </c>
      <c r="AO20" s="215" t="str" cm="1">
        <f t="array" aca="1" ref="AO20" ca="1">IF($B20="","",IF(ISBLANK(INDIRECT("R9.Web!D"&amp;SUM(18,38*5,1))),"",INDIRECT("R9.Web!D"&amp;SUM(18,38*5,1))))</f>
        <v>Falla</v>
      </c>
      <c r="AP20" s="215" t="str" cm="1">
        <f t="array" aca="1" ref="AP20" ca="1">IF($B20="","",IF(ISBLANK(INDIRECT("R9.Web!D"&amp;SUM(18,38*6,1))),"",INDIRECT("R9.Web!D"&amp;SUM(18,38*6,1))))</f>
        <v>Pasa</v>
      </c>
      <c r="AQ20" s="215" t="str" cm="1">
        <f t="array" aca="1" ref="AQ20" ca="1">IF($B20="","",IF(ISBLANK(INDIRECT("R9.Web!D"&amp;SUM(18,38*7,1))),"",INDIRECT("R9.Web!D"&amp;SUM(18,38*7,1))))</f>
        <v>N/A</v>
      </c>
      <c r="AR20" s="215" t="str" cm="1">
        <f t="array" aca="1" ref="AR20" ca="1">IF($B20="","",IF(ISBLANK(INDIRECT("R9.Web!D"&amp;SUM(18,38*8,1))),"",INDIRECT("R9.Web!D"&amp;SUM(18,38*8,1))))</f>
        <v>N/A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Pasa</v>
      </c>
      <c r="AZ20" s="215" t="str" cm="1">
        <f t="array" aca="1" ref="AZ20" ca="1">IF($B20="","",IF(ISBLANK(INDIRECT("R9.Web!D"&amp;SUM(18,38*16,1))),"",INDIRECT("R9.Web!D"&amp;SUM(18,38*16,1))))</f>
        <v>Pasa</v>
      </c>
      <c r="BA20" s="215" t="str" cm="1">
        <f t="array" aca="1" ref="BA20" ca="1">IF($B20="","",IF(ISBLANK(INDIRECT("R9.Web!D"&amp;SUM(18,38*17,1))),"",INDIRECT("R9.Web!D"&amp;SUM(18,38*17,1))))</f>
        <v>Pasa</v>
      </c>
      <c r="BB20" s="215" t="str" cm="1">
        <f t="array" aca="1" ref="BB20" ca="1">IF($B20="","",IF(ISBLANK(INDIRECT("R9.Web!D"&amp;SUM(18,38*18,1))),"",INDIRECT("R9.Web!D"&amp;SUM(18,38*18,1))))</f>
        <v>Pasa</v>
      </c>
      <c r="BC20" s="215" t="str" cm="1">
        <f t="array" aca="1" ref="BC20" ca="1">IF($B20="","",IF(ISBLANK(INDIRECT("R9.Web!D"&amp;SUM(18,38*19,1))),"",INDIRECT("R9.Web!D"&amp;SUM(18,38*19,1))))</f>
        <v>Pasa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Falla</v>
      </c>
      <c r="BH20" s="215" t="str" cm="1">
        <f t="array" aca="1" ref="BH20" ca="1">IF($B20="","",IF(ISBLANK(INDIRECT("R9.Web!D"&amp;SUM(18,38*24,1))),"",INDIRECT("R9.Web!D"&amp;SUM(18,38*24,1))))</f>
        <v>N/A</v>
      </c>
      <c r="BI20" s="215" t="str" cm="1">
        <f t="array" aca="1" ref="BI20" ca="1">IF($B20="","",IF(ISBLANK(INDIRECT("R9.Web!D"&amp;SUM(18,38*25,1))),"",INDIRECT("R9.Web!D"&amp;SUM(18,38*25,1))))</f>
        <v>N/A</v>
      </c>
      <c r="BJ20" s="215" t="str" cm="1">
        <f t="array" aca="1" ref="BJ20" ca="1">IF($B20="","",IF(ISBLANK(INDIRECT("R9.Web!D"&amp;SUM(18,38*26,1))),"",INDIRECT("R9.Web!D"&amp;SUM(18,38*26,1))))</f>
        <v>Pasa</v>
      </c>
      <c r="BK20" s="215" t="str" cm="1">
        <f t="array" aca="1" ref="BK20" ca="1">IF($B20="","",IF(ISBLANK(INDIRECT("R9.Web!D"&amp;SUM(18,38*27,1))),"",INDIRECT("R9.Web!D"&amp;SUM(18,38*27,1))))</f>
        <v>Pasa</v>
      </c>
      <c r="BL20" s="215" t="str" cm="1">
        <f t="array" aca="1" ref="BL20" ca="1">IF($B20="","",IF(ISBLANK(INDIRECT("R9.Web!D"&amp;SUM(18,38*28,1))),"",INDIRECT("R9.Web!D"&amp;SUM(18,38*28,1))))</f>
        <v>Falla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Pasa</v>
      </c>
      <c r="BP20" s="215" t="str" cm="1">
        <f t="array" aca="1" ref="BP20" ca="1">IF($B20="","",IF(ISBLANK(INDIRECT("R9.Web!D"&amp;SUM(18,38*32,1))),"",INDIRECT("R9.Web!D"&amp;SUM(18,38*32,1))))</f>
        <v>N/A</v>
      </c>
      <c r="BQ20" s="215" t="str" cm="1">
        <f t="array" aca="1" ref="BQ20" ca="1">IF($B20="","",IF(ISBLANK(INDIRECT("R9.Web!D"&amp;SUM(18,38*33,1))),"",INDIRECT("R9.Web!D"&amp;SUM(18,38*33,1))))</f>
        <v>N/A</v>
      </c>
      <c r="BR20" s="215" t="str" cm="1">
        <f t="array" aca="1" ref="BR20" ca="1">IF($B20="","",IF(ISBLANK(INDIRECT("R9.Web!D"&amp;SUM(18,38*34,1))),"",INDIRECT("R9.Web!D"&amp;SUM(18,38*34,1))))</f>
        <v>Pasa</v>
      </c>
      <c r="BS20" s="215" t="str" cm="1">
        <f t="array" aca="1" ref="BS20" ca="1">IF($B20="","",IF(ISBLANK(INDIRECT("R9.Web!D"&amp;SUM(18,38*35,1))),"",INDIRECT("R9.Web!D"&amp;SUM(18,38*35,1))))</f>
        <v>N/A</v>
      </c>
      <c r="BT20" s="215" t="str" cm="1">
        <f t="array" aca="1" ref="BT20" ca="1">IF($B20="","",IF(ISBLANK(INDIRECT("R9.Web!D"&amp;SUM(18,38*36,1))),"",INDIRECT("R9.Web!D"&amp;SUM(18,38*36,1))))</f>
        <v>Falla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N/A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Falla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Pasa</v>
      </c>
      <c r="CE20" s="215" t="str" cm="1">
        <f t="array" aca="1" ref="CE20" ca="1">IF($B20="","",IF(ISBLANK(INDIRECT("R9.Web!D"&amp;SUM(18,38*47,1))),"",INDIRECT("R9.Web!D"&amp;SUM(18,38*47,1))))</f>
        <v>Pasa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N/A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Pasa</v>
      </c>
      <c r="CO20" s="215" t="str" cm="1">
        <f t="array" aca="1" ref="CO20" ca="1">IF($B20="","",IF(ISBLANK(INDIRECT("R12.ServiciosApoyo!D"&amp;SUM(18,38*1,1))),"",INDIRECT("R12.ServiciosApoyo!D"&amp;SUM(18,38*1,1))))</f>
        <v>Falla</v>
      </c>
      <c r="CP20" s="215" t="str" cm="1">
        <f t="array" aca="1" ref="CP20" ca="1">IF($B20="","",IF(ISBLANK(INDIRECT("R12.ServiciosApoyo!D"&amp;SUM(18,38*2,1))),"",INDIRECT("R12.ServiciosApoyo!D"&amp;SUM(18,38*2,1))))</f>
        <v>Pasa</v>
      </c>
      <c r="CQ20" s="215" t="str" cm="1">
        <f t="array" aca="1" ref="CQ20" ca="1">IF($B20="","",IF(ISBLANK(INDIRECT("R12.ServiciosApoyo!D"&amp;SUM(18,38*3,1))),"",INDIRECT("R12.ServiciosApoyo!D"&amp;SUM(18,38*3,1))))</f>
        <v>Falla</v>
      </c>
      <c r="CR20" s="215" t="str" cm="1">
        <f t="array" aca="1" ref="CR20" ca="1">IF($B20="","",IF(ISBLANK(INDIRECT("R12.ServiciosApoyo!D"&amp;SUM(18,38*4,1))),"",INDIRECT("R12.ServiciosApoyo!D"&amp;SUM(18,38*4,1))))</f>
        <v>Falla</v>
      </c>
      <c r="CU20" s="31"/>
      <c r="CV20" s="29"/>
      <c r="CW20" s="29"/>
      <c r="CX20" s="29"/>
    </row>
    <row r="21" spans="2:102" ht="20.2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Ciudadanos</v>
      </c>
      <c r="D21" s="98" t="str" cm="1">
        <f t="array" ref="D21">IFERROR(INDEX('03.Muestra'!$F$8:$F$42,SMALL(IF("Página Web"='03.Muestra'!$D$8:$D$42,ROW('03.Muestra'!$F$8:$F$42)-MIN(ROW('03.Muestra'!$D$8:$D$42))+1,""),ROW()-19)),"")</f>
        <v>https://www.comunidad.madrid/hospital/clinicosancarlos/ciudadanos</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Falla</v>
      </c>
      <c r="AN21" s="215" t="str" cm="1">
        <f t="array" aca="1" ref="AN21" ca="1">IF($B21="","",IF(ISBLANK(INDIRECT("R9.Web!D"&amp;SUM(18,38*4,2))),"",INDIRECT("R9.Web!D"&amp;SUM(18,38*4,2))))</f>
        <v>Falla</v>
      </c>
      <c r="AO21" s="215" t="str" cm="1">
        <f t="array" aca="1" ref="AO21" ca="1">IF($B21="","",IF(ISBLANK(INDIRECT("R9.Web!D"&amp;SUM(18,38*5,2))),"",INDIRECT("R9.Web!D"&amp;SUM(18,38*5,2))))</f>
        <v>Falla</v>
      </c>
      <c r="AP21" s="215" t="str" cm="1">
        <f t="array" aca="1" ref="AP21" ca="1">IF($B21="","",IF(ISBLANK(INDIRECT("R9.Web!D"&amp;SUM(18,38*6,2))),"",INDIRECT("R9.Web!D"&amp;SUM(18,38*6,2))))</f>
        <v>Pasa</v>
      </c>
      <c r="AQ21" s="215" t="str" cm="1">
        <f t="array" aca="1" ref="AQ21" ca="1">IF($B21="","",IF(ISBLANK(INDIRECT("R9.Web!D"&amp;SUM(18,38*7,2))),"",INDIRECT("R9.Web!D"&amp;SUM(18,38*7,2))))</f>
        <v>N/A</v>
      </c>
      <c r="AR21" s="215" t="str" cm="1">
        <f t="array" aca="1" ref="AR21" ca="1">IF($B21="","",IF(ISBLANK(INDIRECT("R9.Web!D"&amp;SUM(18,38*8,2))),"",INDIRECT("R9.Web!D"&amp;SUM(18,38*8,2))))</f>
        <v>N/A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Pasa</v>
      </c>
      <c r="AZ21" s="215" t="str" cm="1">
        <f t="array" aca="1" ref="AZ21" ca="1">IF($B21="","",IF(ISBLANK(INDIRECT("R9.Web!D"&amp;SUM(18,38*16,2))),"",INDIRECT("R9.Web!D"&amp;SUM(18,38*16,2))))</f>
        <v>Pasa</v>
      </c>
      <c r="BA21" s="215" t="str" cm="1">
        <f t="array" aca="1" ref="BA21" ca="1">IF($B21="","",IF(ISBLANK(INDIRECT("R9.Web!D"&amp;SUM(18,38*17,2))),"",INDIRECT("R9.Web!D"&amp;SUM(18,38*17,2))))</f>
        <v>Pasa</v>
      </c>
      <c r="BB21" s="215" t="str" cm="1">
        <f t="array" aca="1" ref="BB21" ca="1">IF($B21="","",IF(ISBLANK(INDIRECT("R9.Web!D"&amp;SUM(18,38*18,2))),"",INDIRECT("R9.Web!D"&amp;SUM(18,38*18,2))))</f>
        <v>Pasa</v>
      </c>
      <c r="BC21" s="215" t="str" cm="1">
        <f t="array" aca="1" ref="BC21" ca="1">IF($B21="","",IF(ISBLANK(INDIRECT("R9.Web!D"&amp;SUM(18,38*19,2))),"",INDIRECT("R9.Web!D"&amp;SUM(18,38*19,2))))</f>
        <v>Pasa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Falla</v>
      </c>
      <c r="BH21" s="215" t="str" cm="1">
        <f t="array" aca="1" ref="BH21" ca="1">IF($B21="","",IF(ISBLANK(INDIRECT("R9.Web!D"&amp;SUM(18,38*24,2))),"",INDIRECT("R9.Web!D"&amp;SUM(18,38*24,2))))</f>
        <v>N/A</v>
      </c>
      <c r="BI21" s="215" t="str" cm="1">
        <f t="array" aca="1" ref="BI21" ca="1">IF($B21="","",IF(ISBLANK(INDIRECT("R9.Web!D"&amp;SUM(18,38*25,2))),"",INDIRECT("R9.Web!D"&amp;SUM(18,38*25,2))))</f>
        <v>N/A</v>
      </c>
      <c r="BJ21" s="215" t="str" cm="1">
        <f t="array" aca="1" ref="BJ21" ca="1">IF($B21="","",IF(ISBLANK(INDIRECT("R9.Web!D"&amp;SUM(18,38*26,2))),"",INDIRECT("R9.Web!D"&amp;SUM(18,38*26,2))))</f>
        <v>Pasa</v>
      </c>
      <c r="BK21" s="215" t="str" cm="1">
        <f t="array" aca="1" ref="BK21" ca="1">IF($B21="","",IF(ISBLANK(INDIRECT("R9.Web!D"&amp;SUM(18,38*27,2))),"",INDIRECT("R9.Web!D"&amp;SUM(18,38*27,2))))</f>
        <v>Pasa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Pasa</v>
      </c>
      <c r="BP21" s="215" t="str" cm="1">
        <f t="array" aca="1" ref="BP21" ca="1">IF($B21="","",IF(ISBLANK(INDIRECT("R9.Web!D"&amp;SUM(18,38*32,2))),"",INDIRECT("R9.Web!D"&amp;SUM(18,38*32,2))))</f>
        <v>N/A</v>
      </c>
      <c r="BQ21" s="215" t="str" cm="1">
        <f t="array" aca="1" ref="BQ21" ca="1">IF($B21="","",IF(ISBLANK(INDIRECT("R9.Web!D"&amp;SUM(18,38*33,2))),"",INDIRECT("R9.Web!D"&amp;SUM(18,38*33,2))))</f>
        <v>N/A</v>
      </c>
      <c r="BR21" s="215" t="str" cm="1">
        <f t="array" aca="1" ref="BR21" ca="1">IF($B21="","",IF(ISBLANK(INDIRECT("R9.Web!D"&amp;SUM(18,38*34,2))),"",INDIRECT("R9.Web!D"&amp;SUM(18,38*34,2))))</f>
        <v>Pasa</v>
      </c>
      <c r="BS21" s="215" t="str" cm="1">
        <f t="array" aca="1" ref="BS21" ca="1">IF($B21="","",IF(ISBLANK(INDIRECT("R9.Web!D"&amp;SUM(18,38*35,2))),"",INDIRECT("R9.Web!D"&amp;SUM(18,38*35,2))))</f>
        <v>N/A</v>
      </c>
      <c r="BT21" s="215" t="str" cm="1">
        <f t="array" aca="1" ref="BT21" ca="1">IF($B21="","",IF(ISBLANK(INDIRECT("R9.Web!D"&amp;SUM(18,38*36,2))),"",INDIRECT("R9.Web!D"&amp;SUM(18,38*36,2))))</f>
        <v>Falla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N/A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Falla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Pasa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N/A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Pasa</v>
      </c>
      <c r="CO21" s="215" t="str" cm="1">
        <f t="array" aca="1" ref="CO21" ca="1">IF($B21="","",IF(ISBLANK(INDIRECT("R12.ServiciosApoyo!D"&amp;SUM(18,38*1,2))),"",INDIRECT("R12.ServiciosApoyo!D"&amp;SUM(18,38*1,2))))</f>
        <v>Falla</v>
      </c>
      <c r="CP21" s="215" t="str" cm="1">
        <f t="array" aca="1" ref="CP21" ca="1">IF($B21="","",IF(ISBLANK(INDIRECT("R12.ServiciosApoyo!D"&amp;SUM(18,38*2,2))),"",INDIRECT("R12.ServiciosApoyo!D"&amp;SUM(18,38*2,2))))</f>
        <v>Pasa</v>
      </c>
      <c r="CQ21" s="215" t="str" cm="1">
        <f t="array" aca="1" ref="CQ21" ca="1">IF($B21="","",IF(ISBLANK(INDIRECT("R12.ServiciosApoyo!D"&amp;SUM(18,38*3,2))),"",INDIRECT("R12.ServiciosApoyo!D"&amp;SUM(18,38*3,2))))</f>
        <v>Falla</v>
      </c>
      <c r="CR21" s="215" t="str" cm="1">
        <f t="array" aca="1" ref="CR21" ca="1">IF($B21="","",IF(ISBLANK(INDIRECT("R12.ServiciosApoyo!D"&amp;SUM(18,38*4,2))),"",INDIRECT("R12.ServiciosApoyo!D"&amp;SUM(18,38*4,2))))</f>
        <v>Falla</v>
      </c>
      <c r="CU21" s="100"/>
      <c r="CV21" s="29"/>
      <c r="CW21" s="29"/>
      <c r="CX21" s="29"/>
    </row>
    <row r="22" spans="2:102" ht="20.2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Consultas externas</v>
      </c>
      <c r="D22" s="98" t="str" cm="1">
        <f t="array" ref="D22">IFERROR(INDEX('03.Muestra'!$F$8:$F$42,SMALL(IF("Página Web"='03.Muestra'!$D$8:$D$42,ROW('03.Muestra'!$F$8:$F$42)-MIN(ROW('03.Muestra'!$D$8:$D$42))+1,""),ROW()-19)),"")</f>
        <v>https://www.comunidad.madrid/hospital/clinicosancarlos/ciudadanos/consultas-externas</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Falla</v>
      </c>
      <c r="AN22" s="215" t="str" cm="1">
        <f t="array" aca="1" ref="AN22" ca="1">IF($B22="","",IF(ISBLANK(INDIRECT("R9.Web!D"&amp;SUM(18,38*4,3))),"",INDIRECT("R9.Web!D"&amp;SUM(18,38*4,3))))</f>
        <v>Falla</v>
      </c>
      <c r="AO22" s="215" t="str" cm="1">
        <f t="array" aca="1" ref="AO22" ca="1">IF($B22="","",IF(ISBLANK(INDIRECT("R9.Web!D"&amp;SUM(18,38*5,3))),"",INDIRECT("R9.Web!D"&amp;SUM(18,38*5,3))))</f>
        <v>Falla</v>
      </c>
      <c r="AP22" s="215" t="str" cm="1">
        <f t="array" aca="1" ref="AP22" ca="1">IF($B22="","",IF(ISBLANK(INDIRECT("R9.Web!D"&amp;SUM(18,38*6,3))),"",INDIRECT("R9.Web!D"&amp;SUM(18,38*6,3))))</f>
        <v>Pasa</v>
      </c>
      <c r="AQ22" s="215" t="str" cm="1">
        <f t="array" aca="1" ref="AQ22" ca="1">IF($B22="","",IF(ISBLANK(INDIRECT("R9.Web!D"&amp;SUM(18,38*7,3))),"",INDIRECT("R9.Web!D"&amp;SUM(18,38*7,3))))</f>
        <v>N/A</v>
      </c>
      <c r="AR22" s="215" t="str" cm="1">
        <f t="array" aca="1" ref="AR22" ca="1">IF($B22="","",IF(ISBLANK(INDIRECT("R9.Web!D"&amp;SUM(18,38*8,3))),"",INDIRECT("R9.Web!D"&amp;SUM(18,38*8,3))))</f>
        <v>N/A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Pasa</v>
      </c>
      <c r="AZ22" s="215" t="str" cm="1">
        <f t="array" aca="1" ref="AZ22" ca="1">IF($B22="","",IF(ISBLANK(INDIRECT("R9.Web!D"&amp;SUM(18,38*16,3))),"",INDIRECT("R9.Web!D"&amp;SUM(18,38*16,3))))</f>
        <v>Falla</v>
      </c>
      <c r="BA22" s="215" t="str" cm="1">
        <f t="array" aca="1" ref="BA22" ca="1">IF($B22="","",IF(ISBLANK(INDIRECT("R9.Web!D"&amp;SUM(18,38*17,3))),"",INDIRECT("R9.Web!D"&amp;SUM(18,38*17,3))))</f>
        <v>Pasa</v>
      </c>
      <c r="BB22" s="215" t="str" cm="1">
        <f t="array" aca="1" ref="BB22" ca="1">IF($B22="","",IF(ISBLANK(INDIRECT("R9.Web!D"&amp;SUM(18,38*18,3))),"",INDIRECT("R9.Web!D"&amp;SUM(18,38*18,3))))</f>
        <v>Pasa</v>
      </c>
      <c r="BC22" s="215" t="str" cm="1">
        <f t="array" aca="1" ref="BC22" ca="1">IF($B22="","",IF(ISBLANK(INDIRECT("R9.Web!D"&amp;SUM(18,38*19,3))),"",INDIRECT("R9.Web!D"&amp;SUM(18,38*19,3))))</f>
        <v>Pasa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N/A</v>
      </c>
      <c r="BJ22" s="215" t="str" cm="1">
        <f t="array" aca="1" ref="BJ22" ca="1">IF($B22="","",IF(ISBLANK(INDIRECT("R9.Web!D"&amp;SUM(18,38*26,3))),"",INDIRECT("R9.Web!D"&amp;SUM(18,38*26,3))))</f>
        <v>Pasa</v>
      </c>
      <c r="BK22" s="215" t="str" cm="1">
        <f t="array" aca="1" ref="BK22" ca="1">IF($B22="","",IF(ISBLANK(INDIRECT("R9.Web!D"&amp;SUM(18,38*27,3))),"",INDIRECT("R9.Web!D"&amp;SUM(18,38*27,3))))</f>
        <v>Pasa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N/A</v>
      </c>
      <c r="BR22" s="215" t="str" cm="1">
        <f t="array" aca="1" ref="BR22" ca="1">IF($B22="","",IF(ISBLANK(INDIRECT("R9.Web!D"&amp;SUM(18,38*34,3))),"",INDIRECT("R9.Web!D"&amp;SUM(18,38*34,3))))</f>
        <v>Pasa</v>
      </c>
      <c r="BS22" s="215" t="str" cm="1">
        <f t="array" aca="1" ref="BS22" ca="1">IF($B22="","",IF(ISBLANK(INDIRECT("R9.Web!D"&amp;SUM(18,38*35,3))),"",INDIRECT("R9.Web!D"&amp;SUM(18,38*35,3))))</f>
        <v>N/A</v>
      </c>
      <c r="BT22" s="215" t="str" cm="1">
        <f t="array" aca="1" ref="BT22" ca="1">IF($B22="","",IF(ISBLANK(INDIRECT("R9.Web!D"&amp;SUM(18,38*36,3))),"",INDIRECT("R9.Web!D"&amp;SUM(18,38*36,3))))</f>
        <v>Falla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N/A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Falla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Pasa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N/A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Pasa</v>
      </c>
      <c r="CO22" s="215" t="str" cm="1">
        <f t="array" aca="1" ref="CO22" ca="1">IF($B22="","",IF(ISBLANK(INDIRECT("R12.ServiciosApoyo!D"&amp;SUM(18,38*1,3))),"",INDIRECT("R12.ServiciosApoyo!D"&amp;SUM(18,38*1,3))))</f>
        <v>Falla</v>
      </c>
      <c r="CP22" s="215" t="str" cm="1">
        <f t="array" aca="1" ref="CP22" ca="1">IF($B22="","",IF(ISBLANK(INDIRECT("R12.ServiciosApoyo!D"&amp;SUM(18,38*2,3))),"",INDIRECT("R12.ServiciosApoyo!D"&amp;SUM(18,38*2,3))))</f>
        <v>Pasa</v>
      </c>
      <c r="CQ22" s="215" t="str" cm="1">
        <f t="array" aca="1" ref="CQ22" ca="1">IF($B22="","",IF(ISBLANK(INDIRECT("R12.ServiciosApoyo!D"&amp;SUM(18,38*3,3))),"",INDIRECT("R12.ServiciosApoyo!D"&amp;SUM(18,38*3,3))))</f>
        <v>Falla</v>
      </c>
      <c r="CR22" s="215" t="str" cm="1">
        <f t="array" aca="1" ref="CR22" ca="1">IF($B22="","",IF(ISBLANK(INDIRECT("R12.ServiciosApoyo!D"&amp;SUM(18,38*4,3))),"",INDIRECT("R12.ServiciosApoyo!D"&amp;SUM(18,38*4,3))))</f>
        <v>Falla</v>
      </c>
      <c r="CU22" s="100"/>
      <c r="CV22" s="29"/>
      <c r="CW22" s="29"/>
      <c r="CX22" s="29"/>
    </row>
    <row r="23" spans="2:102" ht="20.2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Donación</v>
      </c>
      <c r="D23" s="98" t="str" cm="1">
        <f t="array" ref="D23">IFERROR(INDEX('03.Muestra'!$F$8:$F$42,SMALL(IF("Página Web"='03.Muestra'!$D$8:$D$42,ROW('03.Muestra'!$F$8:$F$42)-MIN(ROW('03.Muestra'!$D$8:$D$42))+1,""),ROW()-19)),"")</f>
        <v>https://www.comunidad.madrid/hospital/clinicosancarlos/ciudadanos/donacion-0</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Pasa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Falla</v>
      </c>
      <c r="AN23" s="215" t="str" cm="1">
        <f t="array" aca="1" ref="AN23" ca="1">IF($B23="","",IF(ISBLANK(INDIRECT("R9.Web!D"&amp;SUM(18,38*4,4))),"",INDIRECT("R9.Web!D"&amp;SUM(18,38*4,4))))</f>
        <v>Falla</v>
      </c>
      <c r="AO23" s="215" t="str" cm="1">
        <f t="array" aca="1" ref="AO23" ca="1">IF($B23="","",IF(ISBLANK(INDIRECT("R9.Web!D"&amp;SUM(18,38*5,4))),"",INDIRECT("R9.Web!D"&amp;SUM(18,38*5,4))))</f>
        <v>Falla</v>
      </c>
      <c r="AP23" s="215" t="str" cm="1">
        <f t="array" aca="1" ref="AP23" ca="1">IF($B23="","",IF(ISBLANK(INDIRECT("R9.Web!D"&amp;SUM(18,38*6,4))),"",INDIRECT("R9.Web!D"&amp;SUM(18,38*6,4))))</f>
        <v>Pasa</v>
      </c>
      <c r="AQ23" s="215" t="str" cm="1">
        <f t="array" aca="1" ref="AQ23" ca="1">IF($B23="","",IF(ISBLANK(INDIRECT("R9.Web!D"&amp;SUM(18,38*7,4))),"",INDIRECT("R9.Web!D"&amp;SUM(18,38*7,4))))</f>
        <v>N/A</v>
      </c>
      <c r="AR23" s="215" t="str" cm="1">
        <f t="array" aca="1" ref="AR23" ca="1">IF($B23="","",IF(ISBLANK(INDIRECT("R9.Web!D"&amp;SUM(18,38*8,4))),"",INDIRECT("R9.Web!D"&amp;SUM(18,38*8,4))))</f>
        <v>N/A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Pasa</v>
      </c>
      <c r="AZ23" s="215" t="str" cm="1">
        <f t="array" aca="1" ref="AZ23" ca="1">IF($B23="","",IF(ISBLANK(INDIRECT("R9.Web!D"&amp;SUM(18,38*16,4))),"",INDIRECT("R9.Web!D"&amp;SUM(18,38*16,4))))</f>
        <v>Falla</v>
      </c>
      <c r="BA23" s="215" t="str" cm="1">
        <f t="array" aca="1" ref="BA23" ca="1">IF($B23="","",IF(ISBLANK(INDIRECT("R9.Web!D"&amp;SUM(18,38*17,4))),"",INDIRECT("R9.Web!D"&amp;SUM(18,38*17,4))))</f>
        <v>Pasa</v>
      </c>
      <c r="BB23" s="215" t="str" cm="1">
        <f t="array" aca="1" ref="BB23" ca="1">IF($B23="","",IF(ISBLANK(INDIRECT("R9.Web!D"&amp;SUM(18,38*18,4))),"",INDIRECT("R9.Web!D"&amp;SUM(18,38*18,4))))</f>
        <v>Pasa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N/A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Pasa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N/A</v>
      </c>
      <c r="BR23" s="215" t="str" cm="1">
        <f t="array" aca="1" ref="BR23" ca="1">IF($B23="","",IF(ISBLANK(INDIRECT("R9.Web!D"&amp;SUM(18,38*34,4))),"",INDIRECT("R9.Web!D"&amp;SUM(18,38*34,4))))</f>
        <v>Pasa</v>
      </c>
      <c r="BS23" s="215" t="str" cm="1">
        <f t="array" aca="1" ref="BS23" ca="1">IF($B23="","",IF(ISBLANK(INDIRECT("R9.Web!D"&amp;SUM(18,38*35,4))),"",INDIRECT("R9.Web!D"&amp;SUM(18,38*35,4))))</f>
        <v>N/A</v>
      </c>
      <c r="BT23" s="215" t="str" cm="1">
        <f t="array" aca="1" ref="BT23" ca="1">IF($B23="","",IF(ISBLANK(INDIRECT("R9.Web!D"&amp;SUM(18,38*36,4))),"",INDIRECT("R9.Web!D"&amp;SUM(18,38*36,4))))</f>
        <v>Falla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N/A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Falla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Pasa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N/A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Pasa</v>
      </c>
      <c r="CO23" s="215" t="str" cm="1">
        <f t="array" aca="1" ref="CO23" ca="1">IF($B23="","",IF(ISBLANK(INDIRECT("R12.ServiciosApoyo!D"&amp;SUM(18,38*1,4))),"",INDIRECT("R12.ServiciosApoyo!D"&amp;SUM(18,38*1,4))))</f>
        <v>Falla</v>
      </c>
      <c r="CP23" s="215" t="str" cm="1">
        <f t="array" aca="1" ref="CP23" ca="1">IF($B23="","",IF(ISBLANK(INDIRECT("R12.ServiciosApoyo!D"&amp;SUM(18,38*2,4))),"",INDIRECT("R12.ServiciosApoyo!D"&amp;SUM(18,38*2,4))))</f>
        <v>Pasa</v>
      </c>
      <c r="CQ23" s="215" t="str" cm="1">
        <f t="array" aca="1" ref="CQ23" ca="1">IF($B23="","",IF(ISBLANK(INDIRECT("R12.ServiciosApoyo!D"&amp;SUM(18,38*3,4))),"",INDIRECT("R12.ServiciosApoyo!D"&amp;SUM(18,38*3,4))))</f>
        <v>Falla</v>
      </c>
      <c r="CR23" s="215" t="str" cm="1">
        <f t="array" aca="1" ref="CR23" ca="1">IF($B23="","",IF(ISBLANK(INDIRECT("R12.ServiciosApoyo!D"&amp;SUM(18,38*4,4))),"",INDIRECT("R12.ServiciosApoyo!D"&amp;SUM(18,38*4,4))))</f>
        <v>Falla</v>
      </c>
      <c r="CU23" s="100"/>
      <c r="CV23" s="29"/>
      <c r="CW23" s="29"/>
      <c r="CX23" s="29"/>
    </row>
    <row r="24" spans="2:102" ht="20.2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Profesionales</v>
      </c>
      <c r="D24" s="98" t="str" cm="1">
        <f t="array" ref="D24">IFERROR(INDEX('03.Muestra'!$F$8:$F$42,SMALL(IF("Página Web"='03.Muestra'!$D$8:$D$42,ROW('03.Muestra'!$F$8:$F$42)-MIN(ROW('03.Muestra'!$D$8:$D$42))+1,""),ROW()-19)),"")</f>
        <v>https://www.comunidad.madrid/hospital/clinicosancarlos/profesionales</v>
      </c>
      <c r="E24" s="215" t="str" cm="1">
        <f t="array" aca="1" ref="E24" ca="1">IF($B24="","",IF(ISBLANK(INDIRECT("R5.Genéricos!D"&amp;SUM(18,38*0,5))),"",INDIRECT("R5.Genéricos!D"&amp;SUM(18,38*0,5))))</f>
        <v>N/A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Falla</v>
      </c>
      <c r="AN24" s="215" t="str" cm="1">
        <f t="array" aca="1" ref="AN24" ca="1">IF($B24="","",IF(ISBLANK(INDIRECT("R9.Web!D"&amp;SUM(18,38*4,5))),"",INDIRECT("R9.Web!D"&amp;SUM(18,38*4,5))))</f>
        <v>Falla</v>
      </c>
      <c r="AO24" s="215" t="str" cm="1">
        <f t="array" aca="1" ref="AO24" ca="1">IF($B24="","",IF(ISBLANK(INDIRECT("R9.Web!D"&amp;SUM(18,38*5,5))),"",INDIRECT("R9.Web!D"&amp;SUM(18,38*5,5))))</f>
        <v>Falla</v>
      </c>
      <c r="AP24" s="215" t="str" cm="1">
        <f t="array" aca="1" ref="AP24" ca="1">IF($B24="","",IF(ISBLANK(INDIRECT("R9.Web!D"&amp;SUM(18,38*6,5))),"",INDIRECT("R9.Web!D"&amp;SUM(18,38*6,5))))</f>
        <v>Pasa</v>
      </c>
      <c r="AQ24" s="215" t="str" cm="1">
        <f t="array" aca="1" ref="AQ24" ca="1">IF($B24="","",IF(ISBLANK(INDIRECT("R9.Web!D"&amp;SUM(18,38*7,5))),"",INDIRECT("R9.Web!D"&amp;SUM(18,38*7,5))))</f>
        <v>N/A</v>
      </c>
      <c r="AR24" s="215" t="str" cm="1">
        <f t="array" aca="1" ref="AR24" ca="1">IF($B24="","",IF(ISBLANK(INDIRECT("R9.Web!D"&amp;SUM(18,38*8,5))),"",INDIRECT("R9.Web!D"&amp;SUM(18,38*8,5))))</f>
        <v>N/A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Pasa</v>
      </c>
      <c r="AZ24" s="215" t="str" cm="1">
        <f t="array" aca="1" ref="AZ24" ca="1">IF($B24="","",IF(ISBLANK(INDIRECT("R9.Web!D"&amp;SUM(18,38*16,5))),"",INDIRECT("R9.Web!D"&amp;SUM(18,38*16,5))))</f>
        <v>Pasa</v>
      </c>
      <c r="BA24" s="215" t="str" cm="1">
        <f t="array" aca="1" ref="BA24" ca="1">IF($B24="","",IF(ISBLANK(INDIRECT("R9.Web!D"&amp;SUM(18,38*17,5))),"",INDIRECT("R9.Web!D"&amp;SUM(18,38*17,5))))</f>
        <v>Pasa</v>
      </c>
      <c r="BB24" s="215" t="str" cm="1">
        <f t="array" aca="1" ref="BB24" ca="1">IF($B24="","",IF(ISBLANK(INDIRECT("R9.Web!D"&amp;SUM(18,38*18,5))),"",INDIRECT("R9.Web!D"&amp;SUM(18,38*18,5))))</f>
        <v>Pasa</v>
      </c>
      <c r="BC24" s="215" t="str" cm="1">
        <f t="array" aca="1" ref="BC24" ca="1">IF($B24="","",IF(ISBLANK(INDIRECT("R9.Web!D"&amp;SUM(18,38*19,5))),"",INDIRECT("R9.Web!D"&amp;SUM(18,38*19,5))))</f>
        <v>Pasa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Falla</v>
      </c>
      <c r="BH24" s="215" t="str" cm="1">
        <f t="array" aca="1" ref="BH24" ca="1">IF($B24="","",IF(ISBLANK(INDIRECT("R9.Web!D"&amp;SUM(18,38*24,5))),"",INDIRECT("R9.Web!D"&amp;SUM(18,38*24,5))))</f>
        <v>N/A</v>
      </c>
      <c r="BI24" s="215" t="str" cm="1">
        <f t="array" aca="1" ref="BI24" ca="1">IF($B24="","",IF(ISBLANK(INDIRECT("R9.Web!D"&amp;SUM(18,38*25,5))),"",INDIRECT("R9.Web!D"&amp;SUM(18,38*25,5))))</f>
        <v>N/A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N/A</v>
      </c>
      <c r="BR24" s="215" t="str" cm="1">
        <f t="array" aca="1" ref="BR24" ca="1">IF($B24="","",IF(ISBLANK(INDIRECT("R9.Web!D"&amp;SUM(18,38*34,5))),"",INDIRECT("R9.Web!D"&amp;SUM(18,38*34,5))))</f>
        <v>Pasa</v>
      </c>
      <c r="BS24" s="215" t="str" cm="1">
        <f t="array" aca="1" ref="BS24" ca="1">IF($B24="","",IF(ISBLANK(INDIRECT("R9.Web!D"&amp;SUM(18,38*35,5))),"",INDIRECT("R9.Web!D"&amp;SUM(18,38*35,5))))</f>
        <v>N/A</v>
      </c>
      <c r="BT24" s="215" t="str" cm="1">
        <f t="array" aca="1" ref="BT24" ca="1">IF($B24="","",IF(ISBLANK(INDIRECT("R9.Web!D"&amp;SUM(18,38*36,5))),"",INDIRECT("R9.Web!D"&amp;SUM(18,38*36,5))))</f>
        <v>Falla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N/A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Falla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Pasa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N/A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Pasa</v>
      </c>
      <c r="CO24" s="215" t="str" cm="1">
        <f t="array" aca="1" ref="CO24" ca="1">IF($B24="","",IF(ISBLANK(INDIRECT("R12.ServiciosApoyo!D"&amp;SUM(18,38*1,5))),"",INDIRECT("R12.ServiciosApoyo!D"&amp;SUM(18,38*1,5))))</f>
        <v>Falla</v>
      </c>
      <c r="CP24" s="215" t="str" cm="1">
        <f t="array" aca="1" ref="CP24" ca="1">IF($B24="","",IF(ISBLANK(INDIRECT("R12.ServiciosApoyo!D"&amp;SUM(18,38*2,5))),"",INDIRECT("R12.ServiciosApoyo!D"&amp;SUM(18,38*2,5))))</f>
        <v>Pasa</v>
      </c>
      <c r="CQ24" s="215" t="str" cm="1">
        <f t="array" aca="1" ref="CQ24" ca="1">IF($B24="","",IF(ISBLANK(INDIRECT("R12.ServiciosApoyo!D"&amp;SUM(18,38*3,5))),"",INDIRECT("R12.ServiciosApoyo!D"&amp;SUM(18,38*3,5))))</f>
        <v>Falla</v>
      </c>
      <c r="CR24" s="215" t="str" cm="1">
        <f t="array" aca="1" ref="CR24" ca="1">IF($B24="","",IF(ISBLANK(INDIRECT("R12.ServiciosApoyo!D"&amp;SUM(18,38*4,5))),"",INDIRECT("R12.ServiciosApoyo!D"&amp;SUM(18,38*4,5))))</f>
        <v>Falla</v>
      </c>
      <c r="CU24" s="100"/>
      <c r="CV24" s="29"/>
      <c r="CW24" s="29"/>
      <c r="CX24" s="29"/>
    </row>
    <row r="25" spans="2:102" ht="20.2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Docencia</v>
      </c>
      <c r="D25" s="98" t="str" cm="1">
        <f t="array" ref="D25">IFERROR(INDEX('03.Muestra'!$F$8:$F$42,SMALL(IF("Página Web"='03.Muestra'!$D$8:$D$42,ROW('03.Muestra'!$F$8:$F$42)-MIN(ROW('03.Muestra'!$D$8:$D$42))+1,""),ROW()-19)),"")</f>
        <v>https://www.comunidad.madrid/hospital/clinicosancarlos/profesionales/docencia</v>
      </c>
      <c r="E25" s="215" t="str" cm="1">
        <f t="array" aca="1" ref="E25" ca="1">IF($B25="","",IF(ISBLANK(INDIRECT("R5.Genéricos!D"&amp;SUM(18,38*0,6))),"",INDIRECT("R5.Genéricos!D"&amp;SUM(18,38*0,6))))</f>
        <v>N/A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Falla</v>
      </c>
      <c r="AN25" s="215" t="str" cm="1">
        <f t="array" aca="1" ref="AN25" ca="1">IF($B25="","",IF(ISBLANK(INDIRECT("R9.Web!D"&amp;SUM(18,38*4,6))),"",INDIRECT("R9.Web!D"&amp;SUM(18,38*4,6))))</f>
        <v>Falla</v>
      </c>
      <c r="AO25" s="215" t="str" cm="1">
        <f t="array" aca="1" ref="AO25" ca="1">IF($B25="","",IF(ISBLANK(INDIRECT("R9.Web!D"&amp;SUM(18,38*5,6))),"",INDIRECT("R9.Web!D"&amp;SUM(18,38*5,6))))</f>
        <v>Falla</v>
      </c>
      <c r="AP25" s="215" t="str" cm="1">
        <f t="array" aca="1" ref="AP25" ca="1">IF($B25="","",IF(ISBLANK(INDIRECT("R9.Web!D"&amp;SUM(18,38*6,6))),"",INDIRECT("R9.Web!D"&amp;SUM(18,38*6,6))))</f>
        <v>Pasa</v>
      </c>
      <c r="AQ25" s="215" t="str" cm="1">
        <f t="array" aca="1" ref="AQ25" ca="1">IF($B25="","",IF(ISBLANK(INDIRECT("R9.Web!D"&amp;SUM(18,38*7,6))),"",INDIRECT("R9.Web!D"&amp;SUM(18,38*7,6))))</f>
        <v>N/A</v>
      </c>
      <c r="AR25" s="215" t="str" cm="1">
        <f t="array" aca="1" ref="AR25" ca="1">IF($B25="","",IF(ISBLANK(INDIRECT("R9.Web!D"&amp;SUM(18,38*8,6))),"",INDIRECT("R9.Web!D"&amp;SUM(18,38*8,6))))</f>
        <v>N/A</v>
      </c>
      <c r="AS25" s="215" t="str" cm="1">
        <f t="array" aca="1" ref="AS25" ca="1">IF($B25="","",IF(ISBLANK(INDIRECT("R9.Web!D"&amp;SUM(18,38*9,6))),"",INDIRECT("R9.Web!D"&amp;SUM(18,38*9,6))))</f>
        <v>N/A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Pasa</v>
      </c>
      <c r="AZ25" s="215" t="str" cm="1">
        <f t="array" aca="1" ref="AZ25" ca="1">IF($B25="","",IF(ISBLANK(INDIRECT("R9.Web!D"&amp;SUM(18,38*16,6))),"",INDIRECT("R9.Web!D"&amp;SUM(18,38*16,6))))</f>
        <v>Falla</v>
      </c>
      <c r="BA25" s="215" t="str" cm="1">
        <f t="array" aca="1" ref="BA25" ca="1">IF($B25="","",IF(ISBLANK(INDIRECT("R9.Web!D"&amp;SUM(18,38*17,6))),"",INDIRECT("R9.Web!D"&amp;SUM(18,38*17,6))))</f>
        <v>Pasa</v>
      </c>
      <c r="BB25" s="215" t="str" cm="1">
        <f t="array" aca="1" ref="BB25" ca="1">IF($B25="","",IF(ISBLANK(INDIRECT("R9.Web!D"&amp;SUM(18,38*18,6))),"",INDIRECT("R9.Web!D"&amp;SUM(18,38*18,6))))</f>
        <v>Pasa</v>
      </c>
      <c r="BC25" s="215" t="str" cm="1">
        <f t="array" aca="1" ref="BC25" ca="1">IF($B25="","",IF(ISBLANK(INDIRECT("R9.Web!D"&amp;SUM(18,38*19,6))),"",INDIRECT("R9.Web!D"&amp;SUM(18,38*19,6))))</f>
        <v>Pasa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N/A</v>
      </c>
      <c r="BJ25" s="215" t="str" cm="1">
        <f t="array" aca="1" ref="BJ25" ca="1">IF($B25="","",IF(ISBLANK(INDIRECT("R9.Web!D"&amp;SUM(18,38*26,6))),"",INDIRECT("R9.Web!D"&amp;SUM(18,38*26,6))))</f>
        <v>Pasa</v>
      </c>
      <c r="BK25" s="215" t="str" cm="1">
        <f t="array" aca="1" ref="BK25" ca="1">IF($B25="","",IF(ISBLANK(INDIRECT("R9.Web!D"&amp;SUM(18,38*27,6))),"",INDIRECT("R9.Web!D"&amp;SUM(18,38*27,6))))</f>
        <v>Pasa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N/A</v>
      </c>
      <c r="BR25" s="215" t="str" cm="1">
        <f t="array" aca="1" ref="BR25" ca="1">IF($B25="","",IF(ISBLANK(INDIRECT("R9.Web!D"&amp;SUM(18,38*34,6))),"",INDIRECT("R9.Web!D"&amp;SUM(18,38*34,6))))</f>
        <v>Pasa</v>
      </c>
      <c r="BS25" s="215" t="str" cm="1">
        <f t="array" aca="1" ref="BS25" ca="1">IF($B25="","",IF(ISBLANK(INDIRECT("R9.Web!D"&amp;SUM(18,38*35,6))),"",INDIRECT("R9.Web!D"&amp;SUM(18,38*35,6))))</f>
        <v>N/A</v>
      </c>
      <c r="BT25" s="215" t="str" cm="1">
        <f t="array" aca="1" ref="BT25" ca="1">IF($B25="","",IF(ISBLANK(INDIRECT("R9.Web!D"&amp;SUM(18,38*36,6))),"",INDIRECT("R9.Web!D"&amp;SUM(18,38*36,6))))</f>
        <v>Falla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N/A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Falla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Pasa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N/A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Pasa</v>
      </c>
      <c r="CO25" s="215" t="str" cm="1">
        <f t="array" aca="1" ref="CO25" ca="1">IF($B25="","",IF(ISBLANK(INDIRECT("R12.ServiciosApoyo!D"&amp;SUM(18,38*1,6))),"",INDIRECT("R12.ServiciosApoyo!D"&amp;SUM(18,38*1,6))))</f>
        <v>Falla</v>
      </c>
      <c r="CP25" s="215" t="str" cm="1">
        <f t="array" aca="1" ref="CP25" ca="1">IF($B25="","",IF(ISBLANK(INDIRECT("R12.ServiciosApoyo!D"&amp;SUM(18,38*2,6))),"",INDIRECT("R12.ServiciosApoyo!D"&amp;SUM(18,38*2,6))))</f>
        <v>Pasa</v>
      </c>
      <c r="CQ25" s="215" t="str" cm="1">
        <f t="array" aca="1" ref="CQ25" ca="1">IF($B25="","",IF(ISBLANK(INDIRECT("R12.ServiciosApoyo!D"&amp;SUM(18,38*3,6))),"",INDIRECT("R12.ServiciosApoyo!D"&amp;SUM(18,38*3,6))))</f>
        <v>Falla</v>
      </c>
      <c r="CR25" s="215" t="str" cm="1">
        <f t="array" aca="1" ref="CR25" ca="1">IF($B25="","",IF(ISBLANK(INDIRECT("R12.ServiciosApoyo!D"&amp;SUM(18,38*4,6))),"",INDIRECT("R12.ServiciosApoyo!D"&amp;SUM(18,38*4,6))))</f>
        <v>Falla</v>
      </c>
      <c r="CU25" s="100"/>
      <c r="CV25" s="29"/>
      <c r="CW25" s="29"/>
      <c r="CX25" s="29"/>
    </row>
    <row r="26" spans="2:102" ht="20.2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Referencia</v>
      </c>
      <c r="D26" s="98" t="str" cm="1">
        <f t="array" ref="D26">IFERROR(INDEX('03.Muestra'!$F$8:$F$42,SMALL(IF("Página Web"='03.Muestra'!$D$8:$D$42,ROW('03.Muestra'!$F$8:$F$42)-MIN(ROW('03.Muestra'!$D$8:$D$42))+1,""),ROW()-19)),"")</f>
        <v>https://www.comunidad.madrid/hospital/clinicosancarlos/profesionales/unidades-referencia-nacional-redes-europeas</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Falla</v>
      </c>
      <c r="AN26" s="215" t="str" cm="1">
        <f t="array" aca="1" ref="AN26" ca="1">IF($B26="","",IF(ISBLANK(INDIRECT("R9.Web!D"&amp;SUM(18,38*4,7))),"",INDIRECT("R9.Web!D"&amp;SUM(18,38*4,7))))</f>
        <v>Falla</v>
      </c>
      <c r="AO26" s="215" t="str" cm="1">
        <f t="array" aca="1" ref="AO26" ca="1">IF($B26="","",IF(ISBLANK(INDIRECT("R9.Web!D"&amp;SUM(18,38*5,7))),"",INDIRECT("R9.Web!D"&amp;SUM(18,38*5,7))))</f>
        <v>Pasa</v>
      </c>
      <c r="AP26" s="215" t="str" cm="1">
        <f t="array" aca="1" ref="AP26" ca="1">IF($B26="","",IF(ISBLANK(INDIRECT("R9.Web!D"&amp;SUM(18,38*6,7))),"",INDIRECT("R9.Web!D"&amp;SUM(18,38*6,7))))</f>
        <v>Pasa</v>
      </c>
      <c r="AQ26" s="215" t="str" cm="1">
        <f t="array" aca="1" ref="AQ26" ca="1">IF($B26="","",IF(ISBLANK(INDIRECT("R9.Web!D"&amp;SUM(18,38*7,7))),"",INDIRECT("R9.Web!D"&amp;SUM(18,38*7,7))))</f>
        <v>N/A</v>
      </c>
      <c r="AR26" s="215" t="str" cm="1">
        <f t="array" aca="1" ref="AR26" ca="1">IF($B26="","",IF(ISBLANK(INDIRECT("R9.Web!D"&amp;SUM(18,38*8,7))),"",INDIRECT("R9.Web!D"&amp;SUM(18,38*8,7))))</f>
        <v>N/A</v>
      </c>
      <c r="AS26" s="215" t="str" cm="1">
        <f t="array" aca="1" ref="AS26" ca="1">IF($B26="","",IF(ISBLANK(INDIRECT("R9.Web!D"&amp;SUM(18,38*9,7))),"",INDIRECT("R9.Web!D"&amp;SUM(18,38*9,7))))</f>
        <v>N/A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Pasa</v>
      </c>
      <c r="AZ26" s="215" t="str" cm="1">
        <f t="array" aca="1" ref="AZ26" ca="1">IF($B26="","",IF(ISBLANK(INDIRECT("R9.Web!D"&amp;SUM(18,38*16,7))),"",INDIRECT("R9.Web!D"&amp;SUM(18,38*16,7))))</f>
        <v>Falla</v>
      </c>
      <c r="BA26" s="215" t="str" cm="1">
        <f t="array" aca="1" ref="BA26" ca="1">IF($B26="","",IF(ISBLANK(INDIRECT("R9.Web!D"&amp;SUM(18,38*17,7))),"",INDIRECT("R9.Web!D"&amp;SUM(18,38*17,7))))</f>
        <v>Pasa</v>
      </c>
      <c r="BB26" s="215" t="str" cm="1">
        <f t="array" aca="1" ref="BB26" ca="1">IF($B26="","",IF(ISBLANK(INDIRECT("R9.Web!D"&amp;SUM(18,38*18,7))),"",INDIRECT("R9.Web!D"&amp;SUM(18,38*18,7))))</f>
        <v>Pasa</v>
      </c>
      <c r="BC26" s="215" t="str" cm="1">
        <f t="array" aca="1" ref="BC26" ca="1">IF($B26="","",IF(ISBLANK(INDIRECT("R9.Web!D"&amp;SUM(18,38*19,7))),"",INDIRECT("R9.Web!D"&amp;SUM(18,38*19,7))))</f>
        <v>Pasa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N/A</v>
      </c>
      <c r="BJ26" s="215" t="str" cm="1">
        <f t="array" aca="1" ref="BJ26" ca="1">IF($B26="","",IF(ISBLANK(INDIRECT("R9.Web!D"&amp;SUM(18,38*26,7))),"",INDIRECT("R9.Web!D"&amp;SUM(18,38*26,7))))</f>
        <v>Pasa</v>
      </c>
      <c r="BK26" s="215" t="str" cm="1">
        <f t="array" aca="1" ref="BK26" ca="1">IF($B26="","",IF(ISBLANK(INDIRECT("R9.Web!D"&amp;SUM(18,38*27,7))),"",INDIRECT("R9.Web!D"&amp;SUM(18,38*27,7))))</f>
        <v>Pasa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Pasa</v>
      </c>
      <c r="BP26" s="215" t="str" cm="1">
        <f t="array" aca="1" ref="BP26" ca="1">IF($B26="","",IF(ISBLANK(INDIRECT("R9.Web!D"&amp;SUM(18,38*32,7))),"",INDIRECT("R9.Web!D"&amp;SUM(18,38*32,7))))</f>
        <v>N/A</v>
      </c>
      <c r="BQ26" s="215" t="str" cm="1">
        <f t="array" aca="1" ref="BQ26" ca="1">IF($B26="","",IF(ISBLANK(INDIRECT("R9.Web!D"&amp;SUM(18,38*33,7))),"",INDIRECT("R9.Web!D"&amp;SUM(18,38*33,7))))</f>
        <v>N/A</v>
      </c>
      <c r="BR26" s="215" t="str" cm="1">
        <f t="array" aca="1" ref="BR26" ca="1">IF($B26="","",IF(ISBLANK(INDIRECT("R9.Web!D"&amp;SUM(18,38*34,7))),"",INDIRECT("R9.Web!D"&amp;SUM(18,38*34,7))))</f>
        <v>Pasa</v>
      </c>
      <c r="BS26" s="215" t="str" cm="1">
        <f t="array" aca="1" ref="BS26" ca="1">IF($B26="","",IF(ISBLANK(INDIRECT("R9.Web!D"&amp;SUM(18,38*35,7))),"",INDIRECT("R9.Web!D"&amp;SUM(18,38*35,7))))</f>
        <v>N/A</v>
      </c>
      <c r="BT26" s="215" t="str" cm="1">
        <f t="array" aca="1" ref="BT26" ca="1">IF($B26="","",IF(ISBLANK(INDIRECT("R9.Web!D"&amp;SUM(18,38*36,7))),"",INDIRECT("R9.Web!D"&amp;SUM(18,38*36,7))))</f>
        <v>Falla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N/A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Falla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Pasa</v>
      </c>
      <c r="CE26" s="215" t="str" cm="1">
        <f t="array" aca="1" ref="CE26" ca="1">IF($B26="","",IF(ISBLANK(INDIRECT("R9.Web!D"&amp;SUM(18,38*47,7))),"",INDIRECT("R9.Web!D"&amp;SUM(18,38*47,7))))</f>
        <v>Pasa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N/A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Pasa</v>
      </c>
      <c r="CO26" s="215" t="str" cm="1">
        <f t="array" aca="1" ref="CO26" ca="1">IF($B26="","",IF(ISBLANK(INDIRECT("R12.ServiciosApoyo!D"&amp;SUM(18,38*1,7))),"",INDIRECT("R12.ServiciosApoyo!D"&amp;SUM(18,38*1,7))))</f>
        <v>Falla</v>
      </c>
      <c r="CP26" s="215" t="str" cm="1">
        <f t="array" aca="1" ref="CP26" ca="1">IF($B26="","",IF(ISBLANK(INDIRECT("R12.ServiciosApoyo!D"&amp;SUM(18,38*2,7))),"",INDIRECT("R12.ServiciosApoyo!D"&amp;SUM(18,38*2,7))))</f>
        <v>Pasa</v>
      </c>
      <c r="CQ26" s="215" t="str" cm="1">
        <f t="array" aca="1" ref="CQ26" ca="1">IF($B26="","",IF(ISBLANK(INDIRECT("R12.ServiciosApoyo!D"&amp;SUM(18,38*3,7))),"",INDIRECT("R12.ServiciosApoyo!D"&amp;SUM(18,38*3,7))))</f>
        <v>Falla</v>
      </c>
      <c r="CR26" s="215" t="str" cm="1">
        <f t="array" aca="1" ref="CR26" ca="1">IF($B26="","",IF(ISBLANK(INDIRECT("R12.ServiciosApoyo!D"&amp;SUM(18,38*4,7))),"",INDIRECT("R12.ServiciosApoyo!D"&amp;SUM(18,38*4,7))))</f>
        <v>Falla</v>
      </c>
      <c r="CU26" s="100"/>
      <c r="CV26" s="29"/>
      <c r="CW26" s="29"/>
      <c r="CX26" s="29"/>
    </row>
    <row r="27" spans="2:102" ht="20.2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Comunicación</v>
      </c>
      <c r="D27" s="98" t="str" cm="1">
        <f t="array" ref="D27">IFERROR(INDEX('03.Muestra'!$F$8:$F$42,SMALL(IF("Página Web"='03.Muestra'!$D$8:$D$42,ROW('03.Muestra'!$F$8:$F$42)-MIN(ROW('03.Muestra'!$D$8:$D$42))+1,""),ROW()-19)),"")</f>
        <v>https://www.comunidad.madrid/hospital/clinicosancarlos/comunicacion</v>
      </c>
      <c r="E27" s="215" t="str" cm="1">
        <f t="array" aca="1" ref="E27" ca="1">IF($B27="","",IF(ISBLANK(INDIRECT("R5.Genéricos!D"&amp;SUM(18,38*0,8))),"",INDIRECT("R5.Genéricos!D"&amp;SUM(18,38*0,8))))</f>
        <v>N/A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Pasa</v>
      </c>
      <c r="AB27" s="215" t="str" cm="1">
        <f t="array" aca="1" ref="AB27" ca="1">IF($B27="","",IF(ISBLANK(INDIRECT("R7.Video!D"&amp;SUM(18,38*1,8))),"",INDIRECT("R7.Video!D"&amp;SUM(18,38*1,8))))</f>
        <v>Pasa</v>
      </c>
      <c r="AC27" s="215" t="str" cm="1">
        <f t="array" aca="1" ref="AC27" ca="1">IF($B27="","",IF(ISBLANK(INDIRECT("R7.Video!D"&amp;SUM(18,38*2,8))),"",INDIRECT("R7.Video!D"&amp;SUM(18,38*2,8))))</f>
        <v>N/A</v>
      </c>
      <c r="AD27" s="215" t="str" cm="1">
        <f t="array" aca="1" ref="AD27" ca="1">IF($B27="","",IF(ISBLANK(INDIRECT("R7.Video!D"&amp;SUM(18,38*3,8))),"",INDIRECT("R7.Video!D"&amp;SUM(18,38*3,8))))</f>
        <v>Pasa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Falla</v>
      </c>
      <c r="AK27" s="215" t="str" cm="1">
        <f t="array" aca="1" ref="AK27" ca="1">IF($B27="","",IF(ISBLANK(INDIRECT("R9.Web!D"&amp;SUM(18,38*1,8))),"",INDIRECT("R9.Web!D"&amp;SUM(18,38*1,8))))</f>
        <v>N/A</v>
      </c>
      <c r="AL27" s="215" t="str" cm="1">
        <f t="array" aca="1" ref="AL27" ca="1">IF($B27="","",IF(ISBLANK(INDIRECT("R9.Web!D"&amp;SUM(18,38*2,8))),"",INDIRECT("R9.Web!D"&amp;SUM(18,38*2,8))))</f>
        <v>Pasa</v>
      </c>
      <c r="AM27" s="215" t="str" cm="1">
        <f t="array" aca="1" ref="AM27" ca="1">IF($B27="","",IF(ISBLANK(INDIRECT("R9.Web!D"&amp;SUM(18,38*3,8))),"",INDIRECT("R9.Web!D"&amp;SUM(18,38*3,8))))</f>
        <v>Falla</v>
      </c>
      <c r="AN27" s="215" t="str" cm="1">
        <f t="array" aca="1" ref="AN27" ca="1">IF($B27="","",IF(ISBLANK(INDIRECT("R9.Web!D"&amp;SUM(18,38*4,8))),"",INDIRECT("R9.Web!D"&amp;SUM(18,38*4,8))))</f>
        <v>Falla</v>
      </c>
      <c r="AO27" s="215" t="str" cm="1">
        <f t="array" aca="1" ref="AO27" ca="1">IF($B27="","",IF(ISBLANK(INDIRECT("R9.Web!D"&amp;SUM(18,38*5,8))),"",INDIRECT("R9.Web!D"&amp;SUM(18,38*5,8))))</f>
        <v>Falla</v>
      </c>
      <c r="AP27" s="215" t="str" cm="1">
        <f t="array" aca="1" ref="AP27" ca="1">IF($B27="","",IF(ISBLANK(INDIRECT("R9.Web!D"&amp;SUM(18,38*6,8))),"",INDIRECT("R9.Web!D"&amp;SUM(18,38*6,8))))</f>
        <v>Pasa</v>
      </c>
      <c r="AQ27" s="215" t="str" cm="1">
        <f t="array" aca="1" ref="AQ27" ca="1">IF($B27="","",IF(ISBLANK(INDIRECT("R9.Web!D"&amp;SUM(18,38*7,8))),"",INDIRECT("R9.Web!D"&amp;SUM(18,38*7,8))))</f>
        <v>N/A</v>
      </c>
      <c r="AR27" s="215" t="str" cm="1">
        <f t="array" aca="1" ref="AR27" ca="1">IF($B27="","",IF(ISBLANK(INDIRECT("R9.Web!D"&amp;SUM(18,38*8,8))),"",INDIRECT("R9.Web!D"&amp;SUM(18,38*8,8))))</f>
        <v>N/A</v>
      </c>
      <c r="AS27" s="215" t="str" cm="1">
        <f t="array" aca="1" ref="AS27" ca="1">IF($B27="","",IF(ISBLANK(INDIRECT("R9.Web!D"&amp;SUM(18,38*9,8))),"",INDIRECT("R9.Web!D"&amp;SUM(18,38*9,8))))</f>
        <v>N/A</v>
      </c>
      <c r="AT27" s="215" t="str" cm="1">
        <f t="array" aca="1" ref="AT27" ca="1">IF($B27="","",IF(ISBLANK(INDIRECT("R9.Web!D"&amp;SUM(18,38*10,8))),"",INDIRECT("R9.Web!D"&amp;SUM(18,38*10,8))))</f>
        <v>Pasa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Pasa</v>
      </c>
      <c r="AZ27" s="215" t="str" cm="1">
        <f t="array" aca="1" ref="AZ27" ca="1">IF($B27="","",IF(ISBLANK(INDIRECT("R9.Web!D"&amp;SUM(18,38*16,8))),"",INDIRECT("R9.Web!D"&amp;SUM(18,38*16,8))))</f>
        <v>Pasa</v>
      </c>
      <c r="BA27" s="215" t="str" cm="1">
        <f t="array" aca="1" ref="BA27" ca="1">IF($B27="","",IF(ISBLANK(INDIRECT("R9.Web!D"&amp;SUM(18,38*17,8))),"",INDIRECT("R9.Web!D"&amp;SUM(18,38*17,8))))</f>
        <v>Pasa</v>
      </c>
      <c r="BB27" s="215" t="str" cm="1">
        <f t="array" aca="1" ref="BB27" ca="1">IF($B27="","",IF(ISBLANK(INDIRECT("R9.Web!D"&amp;SUM(18,38*18,8))),"",INDIRECT("R9.Web!D"&amp;SUM(18,38*18,8))))</f>
        <v>Pasa</v>
      </c>
      <c r="BC27" s="215" t="str" cm="1">
        <f t="array" aca="1" ref="BC27" ca="1">IF($B27="","",IF(ISBLANK(INDIRECT("R9.Web!D"&amp;SUM(18,38*19,8))),"",INDIRECT("R9.Web!D"&amp;SUM(18,38*19,8))))</f>
        <v>Pasa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Falla</v>
      </c>
      <c r="BH27" s="215" t="str" cm="1">
        <f t="array" aca="1" ref="BH27" ca="1">IF($B27="","",IF(ISBLANK(INDIRECT("R9.Web!D"&amp;SUM(18,38*24,8))),"",INDIRECT("R9.Web!D"&amp;SUM(18,38*24,8))))</f>
        <v>N/A</v>
      </c>
      <c r="BI27" s="215" t="str" cm="1">
        <f t="array" aca="1" ref="BI27" ca="1">IF($B27="","",IF(ISBLANK(INDIRECT("R9.Web!D"&amp;SUM(18,38*25,8))),"",INDIRECT("R9.Web!D"&amp;SUM(18,38*25,8))))</f>
        <v>N/A</v>
      </c>
      <c r="BJ27" s="215" t="str" cm="1">
        <f t="array" aca="1" ref="BJ27" ca="1">IF($B27="","",IF(ISBLANK(INDIRECT("R9.Web!D"&amp;SUM(18,38*26,8))),"",INDIRECT("R9.Web!D"&amp;SUM(18,38*26,8))))</f>
        <v>Pasa</v>
      </c>
      <c r="BK27" s="215" t="str" cm="1">
        <f t="array" aca="1" ref="BK27" ca="1">IF($B27="","",IF(ISBLANK(INDIRECT("R9.Web!D"&amp;SUM(18,38*27,8))),"",INDIRECT("R9.Web!D"&amp;SUM(18,38*27,8))))</f>
        <v>Pasa</v>
      </c>
      <c r="BL27" s="215" t="str" cm="1">
        <f t="array" aca="1" ref="BL27" ca="1">IF($B27="","",IF(ISBLANK(INDIRECT("R9.Web!D"&amp;SUM(18,38*28,8))),"",INDIRECT("R9.Web!D"&amp;SUM(18,38*28,8))))</f>
        <v>Falla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Pasa</v>
      </c>
      <c r="BP27" s="215" t="str" cm="1">
        <f t="array" aca="1" ref="BP27" ca="1">IF($B27="","",IF(ISBLANK(INDIRECT("R9.Web!D"&amp;SUM(18,38*32,8))),"",INDIRECT("R9.Web!D"&amp;SUM(18,38*32,8))))</f>
        <v>N/A</v>
      </c>
      <c r="BQ27" s="215" t="str" cm="1">
        <f t="array" aca="1" ref="BQ27" ca="1">IF($B27="","",IF(ISBLANK(INDIRECT("R9.Web!D"&amp;SUM(18,38*33,8))),"",INDIRECT("R9.Web!D"&amp;SUM(18,38*33,8))))</f>
        <v>N/A</v>
      </c>
      <c r="BR27" s="215" t="str" cm="1">
        <f t="array" aca="1" ref="BR27" ca="1">IF($B27="","",IF(ISBLANK(INDIRECT("R9.Web!D"&amp;SUM(18,38*34,8))),"",INDIRECT("R9.Web!D"&amp;SUM(18,38*34,8))))</f>
        <v>Pasa</v>
      </c>
      <c r="BS27" s="215" t="str" cm="1">
        <f t="array" aca="1" ref="BS27" ca="1">IF($B27="","",IF(ISBLANK(INDIRECT("R9.Web!D"&amp;SUM(18,38*35,8))),"",INDIRECT("R9.Web!D"&amp;SUM(18,38*35,8))))</f>
        <v>N/A</v>
      </c>
      <c r="BT27" s="215" t="str" cm="1">
        <f t="array" aca="1" ref="BT27" ca="1">IF($B27="","",IF(ISBLANK(INDIRECT("R9.Web!D"&amp;SUM(18,38*36,8))),"",INDIRECT("R9.Web!D"&amp;SUM(18,38*36,8))))</f>
        <v>Falla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N/A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Falla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Pasa</v>
      </c>
      <c r="CE27" s="215" t="str" cm="1">
        <f t="array" aca="1" ref="CE27" ca="1">IF($B27="","",IF(ISBLANK(INDIRECT("R9.Web!D"&amp;SUM(18,38*47,8))),"",INDIRECT("R9.Web!D"&amp;SUM(18,38*47,8))))</f>
        <v>Pasa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N/A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Pasa</v>
      </c>
      <c r="CO27" s="215" t="str" cm="1">
        <f t="array" aca="1" ref="CO27" ca="1">IF($B27="","",IF(ISBLANK(INDIRECT("R12.ServiciosApoyo!D"&amp;SUM(18,38*1,8))),"",INDIRECT("R12.ServiciosApoyo!D"&amp;SUM(18,38*1,8))))</f>
        <v>Falla</v>
      </c>
      <c r="CP27" s="215" t="str" cm="1">
        <f t="array" aca="1" ref="CP27" ca="1">IF($B27="","",IF(ISBLANK(INDIRECT("R12.ServiciosApoyo!D"&amp;SUM(18,38*2,8))),"",INDIRECT("R12.ServiciosApoyo!D"&amp;SUM(18,38*2,8))))</f>
        <v>Pasa</v>
      </c>
      <c r="CQ27" s="215" t="str" cm="1">
        <f t="array" aca="1" ref="CQ27" ca="1">IF($B27="","",IF(ISBLANK(INDIRECT("R12.ServiciosApoyo!D"&amp;SUM(18,38*3,8))),"",INDIRECT("R12.ServiciosApoyo!D"&amp;SUM(18,38*3,8))))</f>
        <v>Falla</v>
      </c>
      <c r="CR27" s="215" t="str" cm="1">
        <f t="array" aca="1" ref="CR27" ca="1">IF($B27="","",IF(ISBLANK(INDIRECT("R12.ServiciosApoyo!D"&amp;SUM(18,38*4,8))),"",INDIRECT("R12.ServiciosApoyo!D"&amp;SUM(18,38*4,8))))</f>
        <v>Falla</v>
      </c>
      <c r="CU27" s="100"/>
      <c r="CV27" s="29"/>
      <c r="CW27" s="29"/>
      <c r="CX27" s="29"/>
    </row>
    <row r="28" spans="2:102" ht="20.2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Videoteca</v>
      </c>
      <c r="D28" s="98" t="str" cm="1">
        <f t="array" ref="D28">IFERROR(INDEX('03.Muestra'!$F$8:$F$42,SMALL(IF("Página Web"='03.Muestra'!$D$8:$D$42,ROW('03.Muestra'!$F$8:$F$42)-MIN(ROW('03.Muestra'!$D$8:$D$42))+1,""),ROW()-19)),"")</f>
        <v>https://www.comunidad.madrid/hospital/clinicosancarlos/comunicacion/videoteca</v>
      </c>
      <c r="E28" s="215" t="str" cm="1">
        <f t="array" aca="1" ref="E28" ca="1">IF($B28="","",IF(ISBLANK(INDIRECT("R5.Genéricos!D"&amp;SUM(18,38*0,9))),"",INDIRECT("R5.Genéricos!D"&amp;SUM(18,38*0,9))))</f>
        <v>N/A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Pasa</v>
      </c>
      <c r="AB28" s="215" t="str" cm="1">
        <f t="array" aca="1" ref="AB28" ca="1">IF($B28="","",IF(ISBLANK(INDIRECT("R7.Video!D"&amp;SUM(18,38*1,9))),"",INDIRECT("R7.Video!D"&amp;SUM(18,38*1,9))))</f>
        <v>Pasa</v>
      </c>
      <c r="AC28" s="215" t="str" cm="1">
        <f t="array" aca="1" ref="AC28" ca="1">IF($B28="","",IF(ISBLANK(INDIRECT("R7.Video!D"&amp;SUM(18,38*2,9))),"",INDIRECT("R7.Video!D"&amp;SUM(18,38*2,9))))</f>
        <v>N/A</v>
      </c>
      <c r="AD28" s="215" t="str" cm="1">
        <f t="array" aca="1" ref="AD28" ca="1">IF($B28="","",IF(ISBLANK(INDIRECT("R7.Video!D"&amp;SUM(18,38*3,9))),"",INDIRECT("R7.Video!D"&amp;SUM(18,38*3,9))))</f>
        <v>Pasa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Pasa</v>
      </c>
      <c r="AM28" s="215" t="str" cm="1">
        <f t="array" aca="1" ref="AM28" ca="1">IF($B28="","",IF(ISBLANK(INDIRECT("R9.Web!D"&amp;SUM(18,38*3,9))),"",INDIRECT("R9.Web!D"&amp;SUM(18,38*3,9))))</f>
        <v>Falla</v>
      </c>
      <c r="AN28" s="215" t="str" cm="1">
        <f t="array" aca="1" ref="AN28" ca="1">IF($B28="","",IF(ISBLANK(INDIRECT("R9.Web!D"&amp;SUM(18,38*4,9))),"",INDIRECT("R9.Web!D"&amp;SUM(18,38*4,9))))</f>
        <v>Falla</v>
      </c>
      <c r="AO28" s="215" t="str" cm="1">
        <f t="array" aca="1" ref="AO28" ca="1">IF($B28="","",IF(ISBLANK(INDIRECT("R9.Web!D"&amp;SUM(18,38*5,9))),"",INDIRECT("R9.Web!D"&amp;SUM(18,38*5,9))))</f>
        <v>Falla</v>
      </c>
      <c r="AP28" s="215" t="str" cm="1">
        <f t="array" aca="1" ref="AP28" ca="1">IF($B28="","",IF(ISBLANK(INDIRECT("R9.Web!D"&amp;SUM(18,38*6,9))),"",INDIRECT("R9.Web!D"&amp;SUM(18,38*6,9))))</f>
        <v>Pasa</v>
      </c>
      <c r="AQ28" s="215" t="str" cm="1">
        <f t="array" aca="1" ref="AQ28" ca="1">IF($B28="","",IF(ISBLANK(INDIRECT("R9.Web!D"&amp;SUM(18,38*7,9))),"",INDIRECT("R9.Web!D"&amp;SUM(18,38*7,9))))</f>
        <v>N/A</v>
      </c>
      <c r="AR28" s="215" t="str" cm="1">
        <f t="array" aca="1" ref="AR28" ca="1">IF($B28="","",IF(ISBLANK(INDIRECT("R9.Web!D"&amp;SUM(18,38*8,9))),"",INDIRECT("R9.Web!D"&amp;SUM(18,38*8,9))))</f>
        <v>N/A</v>
      </c>
      <c r="AS28" s="215" t="str" cm="1">
        <f t="array" aca="1" ref="AS28" ca="1">IF($B28="","",IF(ISBLANK(INDIRECT("R9.Web!D"&amp;SUM(18,38*9,9))),"",INDIRECT("R9.Web!D"&amp;SUM(18,38*9,9))))</f>
        <v>N/A</v>
      </c>
      <c r="AT28" s="215" t="str" cm="1">
        <f t="array" aca="1" ref="AT28" ca="1">IF($B28="","",IF(ISBLANK(INDIRECT("R9.Web!D"&amp;SUM(18,38*10,9))),"",INDIRECT("R9.Web!D"&amp;SUM(18,38*10,9))))</f>
        <v>Pasa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Pasa</v>
      </c>
      <c r="AZ28" s="215" t="str" cm="1">
        <f t="array" aca="1" ref="AZ28" ca="1">IF($B28="","",IF(ISBLANK(INDIRECT("R9.Web!D"&amp;SUM(18,38*16,9))),"",INDIRECT("R9.Web!D"&amp;SUM(18,38*16,9))))</f>
        <v>Pasa</v>
      </c>
      <c r="BA28" s="215" t="str" cm="1">
        <f t="array" aca="1" ref="BA28" ca="1">IF($B28="","",IF(ISBLANK(INDIRECT("R9.Web!D"&amp;SUM(18,38*17,9))),"",INDIRECT("R9.Web!D"&amp;SUM(18,38*17,9))))</f>
        <v>Pasa</v>
      </c>
      <c r="BB28" s="215" t="str" cm="1">
        <f t="array" aca="1" ref="BB28" ca="1">IF($B28="","",IF(ISBLANK(INDIRECT("R9.Web!D"&amp;SUM(18,38*18,9))),"",INDIRECT("R9.Web!D"&amp;SUM(18,38*18,9))))</f>
        <v>Pasa</v>
      </c>
      <c r="BC28" s="215" t="str" cm="1">
        <f t="array" aca="1" ref="BC28" ca="1">IF($B28="","",IF(ISBLANK(INDIRECT("R9.Web!D"&amp;SUM(18,38*19,9))),"",INDIRECT("R9.Web!D"&amp;SUM(18,38*19,9))))</f>
        <v>Pasa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N/A</v>
      </c>
      <c r="BJ28" s="215" t="str" cm="1">
        <f t="array" aca="1" ref="BJ28" ca="1">IF($B28="","",IF(ISBLANK(INDIRECT("R9.Web!D"&amp;SUM(18,38*26,9))),"",INDIRECT("R9.Web!D"&amp;SUM(18,38*26,9))))</f>
        <v>Pasa</v>
      </c>
      <c r="BK28" s="215" t="str" cm="1">
        <f t="array" aca="1" ref="BK28" ca="1">IF($B28="","",IF(ISBLANK(INDIRECT("R9.Web!D"&amp;SUM(18,38*27,9))),"",INDIRECT("R9.Web!D"&amp;SUM(18,38*27,9))))</f>
        <v>Pasa</v>
      </c>
      <c r="BL28" s="215" t="str" cm="1">
        <f t="array" aca="1" ref="BL28" ca="1">IF($B28="","",IF(ISBLANK(INDIRECT("R9.Web!D"&amp;SUM(18,38*28,9))),"",INDIRECT("R9.Web!D"&amp;SUM(18,38*28,9))))</f>
        <v>Pasa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Pasa</v>
      </c>
      <c r="BP28" s="215" t="str" cm="1">
        <f t="array" aca="1" ref="BP28" ca="1">IF($B28="","",IF(ISBLANK(INDIRECT("R9.Web!D"&amp;SUM(18,38*32,9))),"",INDIRECT("R9.Web!D"&amp;SUM(18,38*32,9))))</f>
        <v>N/A</v>
      </c>
      <c r="BQ28" s="215" t="str" cm="1">
        <f t="array" aca="1" ref="BQ28" ca="1">IF($B28="","",IF(ISBLANK(INDIRECT("R9.Web!D"&amp;SUM(18,38*33,9))),"",INDIRECT("R9.Web!D"&amp;SUM(18,38*33,9))))</f>
        <v>N/A</v>
      </c>
      <c r="BR28" s="215" t="str" cm="1">
        <f t="array" aca="1" ref="BR28" ca="1">IF($B28="","",IF(ISBLANK(INDIRECT("R9.Web!D"&amp;SUM(18,38*34,9))),"",INDIRECT("R9.Web!D"&amp;SUM(18,38*34,9))))</f>
        <v>Pasa</v>
      </c>
      <c r="BS28" s="215" t="str" cm="1">
        <f t="array" aca="1" ref="BS28" ca="1">IF($B28="","",IF(ISBLANK(INDIRECT("R9.Web!D"&amp;SUM(18,38*35,9))),"",INDIRECT("R9.Web!D"&amp;SUM(18,38*35,9))))</f>
        <v>N/A</v>
      </c>
      <c r="BT28" s="215" t="str" cm="1">
        <f t="array" aca="1" ref="BT28" ca="1">IF($B28="","",IF(ISBLANK(INDIRECT("R9.Web!D"&amp;SUM(18,38*36,9))),"",INDIRECT("R9.Web!D"&amp;SUM(18,38*36,9))))</f>
        <v>Falla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Pasa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Falla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Pasa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N/A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Pasa</v>
      </c>
      <c r="CO28" s="215" t="str" cm="1">
        <f t="array" aca="1" ref="CO28" ca="1">IF($B28="","",IF(ISBLANK(INDIRECT("R12.ServiciosApoyo!D"&amp;SUM(18,38*1,9))),"",INDIRECT("R12.ServiciosApoyo!D"&amp;SUM(18,38*1,9))))</f>
        <v>Falla</v>
      </c>
      <c r="CP28" s="215" t="str" cm="1">
        <f t="array" aca="1" ref="CP28" ca="1">IF($B28="","",IF(ISBLANK(INDIRECT("R12.ServiciosApoyo!D"&amp;SUM(18,38*2,9))),"",INDIRECT("R12.ServiciosApoyo!D"&amp;SUM(18,38*2,9))))</f>
        <v>Pasa</v>
      </c>
      <c r="CQ28" s="215" t="str" cm="1">
        <f t="array" aca="1" ref="CQ28" ca="1">IF($B28="","",IF(ISBLANK(INDIRECT("R12.ServiciosApoyo!D"&amp;SUM(18,38*3,9))),"",INDIRECT("R12.ServiciosApoyo!D"&amp;SUM(18,38*3,9))))</f>
        <v>Falla</v>
      </c>
      <c r="CR28" s="215" t="str" cm="1">
        <f t="array" aca="1" ref="CR28" ca="1">IF($B28="","",IF(ISBLANK(INDIRECT("R12.ServiciosApoyo!D"&amp;SUM(18,38*4,9))),"",INDIRECT("R12.ServiciosApoyo!D"&amp;SUM(18,38*4,9))))</f>
        <v>Falla</v>
      </c>
      <c r="CU28" s="100"/>
      <c r="CV28" s="29"/>
      <c r="CW28" s="29"/>
      <c r="CX28" s="29"/>
    </row>
    <row r="29" spans="2:102" ht="20.2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Noticias</v>
      </c>
      <c r="D29" s="98" t="str" cm="1">
        <f t="array" ref="D29">IFERROR(INDEX('03.Muestra'!$F$8:$F$42,SMALL(IF("Página Web"='03.Muestra'!$D$8:$D$42,ROW('03.Muestra'!$F$8:$F$42)-MIN(ROW('03.Muestra'!$D$8:$D$42))+1,""),ROW()-19)),"")</f>
        <v>https://www.comunidad.madrid/hospital/clinicosancarlos/comunicacion/noticias</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Falla</v>
      </c>
      <c r="AN29" s="215" t="str" cm="1">
        <f t="array" aca="1" ref="AN29" ca="1">IF($B29="","",IF(ISBLANK(INDIRECT("R9.Web!D"&amp;SUM(18,38*4,10))),"",INDIRECT("R9.Web!D"&amp;SUM(18,38*4,10))))</f>
        <v>Falla</v>
      </c>
      <c r="AO29" s="215" t="str" cm="1">
        <f t="array" aca="1" ref="AO29" ca="1">IF($B29="","",IF(ISBLANK(INDIRECT("R9.Web!D"&amp;SUM(18,38*5,10))),"",INDIRECT("R9.Web!D"&amp;SUM(18,38*5,10))))</f>
        <v>Falla</v>
      </c>
      <c r="AP29" s="215" t="str" cm="1">
        <f t="array" aca="1" ref="AP29" ca="1">IF($B29="","",IF(ISBLANK(INDIRECT("R9.Web!D"&amp;SUM(18,38*6,10))),"",INDIRECT("R9.Web!D"&amp;SUM(18,38*6,10))))</f>
        <v>Pasa</v>
      </c>
      <c r="AQ29" s="215" t="str" cm="1">
        <f t="array" aca="1" ref="AQ29" ca="1">IF($B29="","",IF(ISBLANK(INDIRECT("R9.Web!D"&amp;SUM(18,38*7,10))),"",INDIRECT("R9.Web!D"&amp;SUM(18,38*7,10))))</f>
        <v>N/A</v>
      </c>
      <c r="AR29" s="215" t="str" cm="1">
        <f t="array" aca="1" ref="AR29" ca="1">IF($B29="","",IF(ISBLANK(INDIRECT("R9.Web!D"&amp;SUM(18,38*8,10))),"",INDIRECT("R9.Web!D"&amp;SUM(18,38*8,10))))</f>
        <v>N/A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Pasa</v>
      </c>
      <c r="AZ29" s="215" t="str" cm="1">
        <f t="array" aca="1" ref="AZ29" ca="1">IF($B29="","",IF(ISBLANK(INDIRECT("R9.Web!D"&amp;SUM(18,38*16,10))),"",INDIRECT("R9.Web!D"&amp;SUM(18,38*16,10))))</f>
        <v>Pasa</v>
      </c>
      <c r="BA29" s="215" t="str" cm="1">
        <f t="array" aca="1" ref="BA29" ca="1">IF($B29="","",IF(ISBLANK(INDIRECT("R9.Web!D"&amp;SUM(18,38*17,10))),"",INDIRECT("R9.Web!D"&amp;SUM(18,38*17,10))))</f>
        <v>Pasa</v>
      </c>
      <c r="BB29" s="215" t="str" cm="1">
        <f t="array" aca="1" ref="BB29" ca="1">IF($B29="","",IF(ISBLANK(INDIRECT("R9.Web!D"&amp;SUM(18,38*18,10))),"",INDIRECT("R9.Web!D"&amp;SUM(18,38*18,10))))</f>
        <v>Pasa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N/A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N/A</v>
      </c>
      <c r="BR29" s="215" t="str" cm="1">
        <f t="array" aca="1" ref="BR29" ca="1">IF($B29="","",IF(ISBLANK(INDIRECT("R9.Web!D"&amp;SUM(18,38*34,10))),"",INDIRECT("R9.Web!D"&amp;SUM(18,38*34,10))))</f>
        <v>Pasa</v>
      </c>
      <c r="BS29" s="215" t="str" cm="1">
        <f t="array" aca="1" ref="BS29" ca="1">IF($B29="","",IF(ISBLANK(INDIRECT("R9.Web!D"&amp;SUM(18,38*35,10))),"",INDIRECT("R9.Web!D"&amp;SUM(18,38*35,10))))</f>
        <v>N/A</v>
      </c>
      <c r="BT29" s="215" t="str" cm="1">
        <f t="array" aca="1" ref="BT29" ca="1">IF($B29="","",IF(ISBLANK(INDIRECT("R9.Web!D"&amp;SUM(18,38*36,10))),"",INDIRECT("R9.Web!D"&amp;SUM(18,38*36,10))))</f>
        <v>Falla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Pasa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Falla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Pasa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N/A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Pasa</v>
      </c>
      <c r="CO29" s="215" t="str" cm="1">
        <f t="array" aca="1" ref="CO29" ca="1">IF($B29="","",IF(ISBLANK(INDIRECT("R12.ServiciosApoyo!D"&amp;SUM(18,38*1,10))),"",INDIRECT("R12.ServiciosApoyo!D"&amp;SUM(18,38*1,10))))</f>
        <v>Falla</v>
      </c>
      <c r="CP29" s="215" t="str" cm="1">
        <f t="array" aca="1" ref="CP29" ca="1">IF($B29="","",IF(ISBLANK(INDIRECT("R12.ServiciosApoyo!D"&amp;SUM(18,38*2,10))),"",INDIRECT("R12.ServiciosApoyo!D"&amp;SUM(18,38*2,10))))</f>
        <v>Pasa</v>
      </c>
      <c r="CQ29" s="215" t="str" cm="1">
        <f t="array" aca="1" ref="CQ29" ca="1">IF($B29="","",IF(ISBLANK(INDIRECT("R12.ServiciosApoyo!D"&amp;SUM(18,38*3,10))),"",INDIRECT("R12.ServiciosApoyo!D"&amp;SUM(18,38*3,10))))</f>
        <v>Falla</v>
      </c>
      <c r="CR29" s="215" t="str" cm="1">
        <f t="array" aca="1" ref="CR29" ca="1">IF($B29="","",IF(ISBLANK(INDIRECT("R12.ServiciosApoyo!D"&amp;SUM(18,38*4,10))),"",INDIRECT("R12.ServiciosApoyo!D"&amp;SUM(18,38*4,10))))</f>
        <v>Falla</v>
      </c>
      <c r="CU29" s="100"/>
      <c r="CV29" s="29"/>
      <c r="CW29" s="29"/>
      <c r="CX29" s="29"/>
    </row>
    <row r="30" spans="2:102" ht="20.25">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Nosotros</v>
      </c>
      <c r="D30" s="98" t="str" cm="1">
        <f t="array" ref="D30">IFERROR(INDEX('03.Muestra'!$F$8:$F$42,SMALL(IF("Página Web"='03.Muestra'!$D$8:$D$42,ROW('03.Muestra'!$F$8:$F$42)-MIN(ROW('03.Muestra'!$D$8:$D$42))+1,""),ROW()-19)),"")</f>
        <v>https://www.comunidad.madrid/hospital/clinicosancarlos/nosotros</v>
      </c>
      <c r="E30" s="215" t="str" cm="1">
        <f t="array" aca="1" ref="E30" ca="1">IF($B30="","",IF(ISBLANK(INDIRECT("R5.Genéricos!D"&amp;SUM(18,38*0,11))),"",INDIRECT("R5.Genéricos!D"&amp;SUM(18,38*0,11))))</f>
        <v>N/A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Falla</v>
      </c>
      <c r="AN30" s="215" t="str" cm="1">
        <f t="array" aca="1" ref="AN30" ca="1">IF($B30="","",IF(ISBLANK(INDIRECT("R9.Web!D"&amp;SUM(18,38*4,11))),"",INDIRECT("R9.Web!D"&amp;SUM(18,38*4,11))))</f>
        <v>Falla</v>
      </c>
      <c r="AO30" s="215" t="str" cm="1">
        <f t="array" aca="1" ref="AO30" ca="1">IF($B30="","",IF(ISBLANK(INDIRECT("R9.Web!D"&amp;SUM(18,38*5,11))),"",INDIRECT("R9.Web!D"&amp;SUM(18,38*5,11))))</f>
        <v>Falla</v>
      </c>
      <c r="AP30" s="215" t="str" cm="1">
        <f t="array" aca="1" ref="AP30" ca="1">IF($B30="","",IF(ISBLANK(INDIRECT("R9.Web!D"&amp;SUM(18,38*6,11))),"",INDIRECT("R9.Web!D"&amp;SUM(18,38*6,11))))</f>
        <v>Pasa</v>
      </c>
      <c r="AQ30" s="215" t="str" cm="1">
        <f t="array" aca="1" ref="AQ30" ca="1">IF($B30="","",IF(ISBLANK(INDIRECT("R9.Web!D"&amp;SUM(18,38*7,11))),"",INDIRECT("R9.Web!D"&amp;SUM(18,38*7,11))))</f>
        <v>N/A</v>
      </c>
      <c r="AR30" s="215" t="str" cm="1">
        <f t="array" aca="1" ref="AR30" ca="1">IF($B30="","",IF(ISBLANK(INDIRECT("R9.Web!D"&amp;SUM(18,38*8,11))),"",INDIRECT("R9.Web!D"&amp;SUM(18,38*8,11))))</f>
        <v>N/A</v>
      </c>
      <c r="AS30" s="215" t="str" cm="1">
        <f t="array" aca="1" ref="AS30" ca="1">IF($B30="","",IF(ISBLANK(INDIRECT("R9.Web!D"&amp;SUM(18,38*9,11))),"",INDIRECT("R9.Web!D"&amp;SUM(18,38*9,11))))</f>
        <v>N/A</v>
      </c>
      <c r="AT30" s="215" t="str" cm="1">
        <f t="array" aca="1" ref="AT30" ca="1">IF($B30="","",IF(ISBLANK(INDIRECT("R9.Web!D"&amp;SUM(18,38*10,11))),"",INDIRECT("R9.Web!D"&amp;SUM(18,38*10,11))))</f>
        <v>Pasa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Pasa</v>
      </c>
      <c r="AZ30" s="215" t="str" cm="1">
        <f t="array" aca="1" ref="AZ30" ca="1">IF($B30="","",IF(ISBLANK(INDIRECT("R9.Web!D"&amp;SUM(18,38*16,11))),"",INDIRECT("R9.Web!D"&amp;SUM(18,38*16,11))))</f>
        <v>Pasa</v>
      </c>
      <c r="BA30" s="215" t="str" cm="1">
        <f t="array" aca="1" ref="BA30" ca="1">IF($B30="","",IF(ISBLANK(INDIRECT("R9.Web!D"&amp;SUM(18,38*17,11))),"",INDIRECT("R9.Web!D"&amp;SUM(18,38*17,11))))</f>
        <v>Pasa</v>
      </c>
      <c r="BB30" s="215" t="str" cm="1">
        <f t="array" aca="1" ref="BB30" ca="1">IF($B30="","",IF(ISBLANK(INDIRECT("R9.Web!D"&amp;SUM(18,38*18,11))),"",INDIRECT("R9.Web!D"&amp;SUM(18,38*18,11))))</f>
        <v>Pasa</v>
      </c>
      <c r="BC30" s="215" t="str" cm="1">
        <f t="array" aca="1" ref="BC30" ca="1">IF($B30="","",IF(ISBLANK(INDIRECT("R9.Web!D"&amp;SUM(18,38*19,11))),"",INDIRECT("R9.Web!D"&amp;SUM(18,38*19,11))))</f>
        <v>Falla</v>
      </c>
      <c r="BD30" s="215" t="str" cm="1">
        <f t="array" aca="1" ref="BD30" ca="1">IF($B30="","",IF(ISBLANK(INDIRECT("R9.Web!D"&amp;SUM(18,38*20,11))),"",INDIRECT("R9.Web!D"&amp;SUM(18,38*20,11))))</f>
        <v>Pasa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Falla</v>
      </c>
      <c r="BH30" s="215" t="str" cm="1">
        <f t="array" aca="1" ref="BH30" ca="1">IF($B30="","",IF(ISBLANK(INDIRECT("R9.Web!D"&amp;SUM(18,38*24,11))),"",INDIRECT("R9.Web!D"&amp;SUM(18,38*24,11))))</f>
        <v>N/A</v>
      </c>
      <c r="BI30" s="215" t="str" cm="1">
        <f t="array" aca="1" ref="BI30" ca="1">IF($B30="","",IF(ISBLANK(INDIRECT("R9.Web!D"&amp;SUM(18,38*25,11))),"",INDIRECT("R9.Web!D"&amp;SUM(18,38*25,11))))</f>
        <v>N/A</v>
      </c>
      <c r="BJ30" s="215" t="str" cm="1">
        <f t="array" aca="1" ref="BJ30" ca="1">IF($B30="","",IF(ISBLANK(INDIRECT("R9.Web!D"&amp;SUM(18,38*26,11))),"",INDIRECT("R9.Web!D"&amp;SUM(18,38*26,11))))</f>
        <v>Pasa</v>
      </c>
      <c r="BK30" s="215" t="str" cm="1">
        <f t="array" aca="1" ref="BK30" ca="1">IF($B30="","",IF(ISBLANK(INDIRECT("R9.Web!D"&amp;SUM(18,38*27,11))),"",INDIRECT("R9.Web!D"&amp;SUM(18,38*27,11))))</f>
        <v>Pasa</v>
      </c>
      <c r="BL30" s="215" t="str" cm="1">
        <f t="array" aca="1" ref="BL30" ca="1">IF($B30="","",IF(ISBLANK(INDIRECT("R9.Web!D"&amp;SUM(18,38*28,11))),"",INDIRECT("R9.Web!D"&amp;SUM(18,38*28,11))))</f>
        <v>Pasa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Pasa</v>
      </c>
      <c r="BP30" s="215" t="str" cm="1">
        <f t="array" aca="1" ref="BP30" ca="1">IF($B30="","",IF(ISBLANK(INDIRECT("R9.Web!D"&amp;SUM(18,38*32,11))),"",INDIRECT("R9.Web!D"&amp;SUM(18,38*32,11))))</f>
        <v>N/A</v>
      </c>
      <c r="BQ30" s="215" t="str" cm="1">
        <f t="array" aca="1" ref="BQ30" ca="1">IF($B30="","",IF(ISBLANK(INDIRECT("R9.Web!D"&amp;SUM(18,38*33,11))),"",INDIRECT("R9.Web!D"&amp;SUM(18,38*33,11))))</f>
        <v>N/A</v>
      </c>
      <c r="BR30" s="215" t="str" cm="1">
        <f t="array" aca="1" ref="BR30" ca="1">IF($B30="","",IF(ISBLANK(INDIRECT("R9.Web!D"&amp;SUM(18,38*34,11))),"",INDIRECT("R9.Web!D"&amp;SUM(18,38*34,11))))</f>
        <v>Pasa</v>
      </c>
      <c r="BS30" s="215" t="str" cm="1">
        <f t="array" aca="1" ref="BS30" ca="1">IF($B30="","",IF(ISBLANK(INDIRECT("R9.Web!D"&amp;SUM(18,38*35,11))),"",INDIRECT("R9.Web!D"&amp;SUM(18,38*35,11))))</f>
        <v>N/A</v>
      </c>
      <c r="BT30" s="215" t="str" cm="1">
        <f t="array" aca="1" ref="BT30" ca="1">IF($B30="","",IF(ISBLANK(INDIRECT("R9.Web!D"&amp;SUM(18,38*36,11))),"",INDIRECT("R9.Web!D"&amp;SUM(18,38*36,11))))</f>
        <v>Falla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N/A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Falla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Pasa</v>
      </c>
      <c r="CE30" s="215" t="str" cm="1">
        <f t="array" aca="1" ref="CE30" ca="1">IF($B30="","",IF(ISBLANK(INDIRECT("R9.Web!D"&amp;SUM(18,38*47,11))),"",INDIRECT("R9.Web!D"&amp;SUM(18,38*47,11))))</f>
        <v>Pasa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N/A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Pasa</v>
      </c>
      <c r="CO30" s="215" t="str" cm="1">
        <f t="array" aca="1" ref="CO30" ca="1">IF($B30="","",IF(ISBLANK(INDIRECT("R12.ServiciosApoyo!D"&amp;SUM(18,38*1,11))),"",INDIRECT("R12.ServiciosApoyo!D"&amp;SUM(18,38*1,11))))</f>
        <v>Falla</v>
      </c>
      <c r="CP30" s="215" t="str" cm="1">
        <f t="array" aca="1" ref="CP30" ca="1">IF($B30="","",IF(ISBLANK(INDIRECT("R12.ServiciosApoyo!D"&amp;SUM(18,38*2,11))),"",INDIRECT("R12.ServiciosApoyo!D"&amp;SUM(18,38*2,11))))</f>
        <v>Pasa</v>
      </c>
      <c r="CQ30" s="215" t="str" cm="1">
        <f t="array" aca="1" ref="CQ30" ca="1">IF($B30="","",IF(ISBLANK(INDIRECT("R12.ServiciosApoyo!D"&amp;SUM(18,38*3,11))),"",INDIRECT("R12.ServiciosApoyo!D"&amp;SUM(18,38*3,11))))</f>
        <v>Falla</v>
      </c>
      <c r="CR30" s="215" t="str" cm="1">
        <f t="array" aca="1" ref="CR30" ca="1">IF($B30="","",IF(ISBLANK(INDIRECT("R12.ServiciosApoyo!D"&amp;SUM(18,38*4,11))),"",INDIRECT("R12.ServiciosApoyo!D"&amp;SUM(18,38*4,11))))</f>
        <v>Falla</v>
      </c>
      <c r="CU30" s="100"/>
      <c r="CV30" s="101"/>
      <c r="CW30" s="29"/>
      <c r="CX30" s="29"/>
    </row>
    <row r="31" spans="2:102" ht="20.25">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Gestión Ambiental</v>
      </c>
      <c r="D31" s="98" t="str" cm="1">
        <f t="array" ref="D31">IFERROR(INDEX('03.Muestra'!$F$8:$F$42,SMALL(IF("Página Web"='03.Muestra'!$D$8:$D$42,ROW('03.Muestra'!$F$8:$F$42)-MIN(ROW('03.Muestra'!$D$8:$D$42))+1,""),ROW()-19)),"")</f>
        <v>https://www.comunidad.madrid/hospital/clinicosancarlos/nosotros/gestion-ambiental</v>
      </c>
      <c r="E31" s="215" t="str" cm="1">
        <f t="array" aca="1" ref="E31" ca="1">IF($B31="","",IF(ISBLANK(INDIRECT("R5.Genéricos!D"&amp;SUM(18,38*0,12))),"",INDIRECT("R5.Genéricos!D"&amp;SUM(18,38*0,12))))</f>
        <v>N/A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Pasa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Falla</v>
      </c>
      <c r="AN31" s="215" t="str" cm="1">
        <f t="array" aca="1" ref="AN31" ca="1">IF($B31="","",IF(ISBLANK(INDIRECT("R9.Web!D"&amp;SUM(18,38*4,12))),"",INDIRECT("R9.Web!D"&amp;SUM(18,38*4,12))))</f>
        <v>Falla</v>
      </c>
      <c r="AO31" s="215" t="str" cm="1">
        <f t="array" aca="1" ref="AO31" ca="1">IF($B31="","",IF(ISBLANK(INDIRECT("R9.Web!D"&amp;SUM(18,38*5,12))),"",INDIRECT("R9.Web!D"&amp;SUM(18,38*5,12))))</f>
        <v>Falla</v>
      </c>
      <c r="AP31" s="215" t="str" cm="1">
        <f t="array" aca="1" ref="AP31" ca="1">IF($B31="","",IF(ISBLANK(INDIRECT("R9.Web!D"&amp;SUM(18,38*6,12))),"",INDIRECT("R9.Web!D"&amp;SUM(18,38*6,12))))</f>
        <v>Pasa</v>
      </c>
      <c r="AQ31" s="215" t="str" cm="1">
        <f t="array" aca="1" ref="AQ31" ca="1">IF($B31="","",IF(ISBLANK(INDIRECT("R9.Web!D"&amp;SUM(18,38*7,12))),"",INDIRECT("R9.Web!D"&amp;SUM(18,38*7,12))))</f>
        <v>N/A</v>
      </c>
      <c r="AR31" s="215" t="str" cm="1">
        <f t="array" aca="1" ref="AR31" ca="1">IF($B31="","",IF(ISBLANK(INDIRECT("R9.Web!D"&amp;SUM(18,38*8,12))),"",INDIRECT("R9.Web!D"&amp;SUM(18,38*8,12))))</f>
        <v>N/A</v>
      </c>
      <c r="AS31" s="215" t="str" cm="1">
        <f t="array" aca="1" ref="AS31" ca="1">IF($B31="","",IF(ISBLANK(INDIRECT("R9.Web!D"&amp;SUM(18,38*9,12))),"",INDIRECT("R9.Web!D"&amp;SUM(18,38*9,12))))</f>
        <v>N/A</v>
      </c>
      <c r="AT31" s="215" t="str" cm="1">
        <f t="array" aca="1" ref="AT31" ca="1">IF($B31="","",IF(ISBLANK(INDIRECT("R9.Web!D"&amp;SUM(18,38*10,12))),"",INDIRECT("R9.Web!D"&amp;SUM(18,38*10,12))))</f>
        <v>Pasa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Pasa</v>
      </c>
      <c r="AZ31" s="215" t="str" cm="1">
        <f t="array" aca="1" ref="AZ31" ca="1">IF($B31="","",IF(ISBLANK(INDIRECT("R9.Web!D"&amp;SUM(18,38*16,12))),"",INDIRECT("R9.Web!D"&amp;SUM(18,38*16,12))))</f>
        <v>Falla</v>
      </c>
      <c r="BA31" s="215" t="str" cm="1">
        <f t="array" aca="1" ref="BA31" ca="1">IF($B31="","",IF(ISBLANK(INDIRECT("R9.Web!D"&amp;SUM(18,38*17,12))),"",INDIRECT("R9.Web!D"&amp;SUM(18,38*17,12))))</f>
        <v>Pasa</v>
      </c>
      <c r="BB31" s="215" t="str" cm="1">
        <f t="array" aca="1" ref="BB31" ca="1">IF($B31="","",IF(ISBLANK(INDIRECT("R9.Web!D"&amp;SUM(18,38*18,12))),"",INDIRECT("R9.Web!D"&amp;SUM(18,38*18,12))))</f>
        <v>Pasa</v>
      </c>
      <c r="BC31" s="215" t="str" cm="1">
        <f t="array" aca="1" ref="BC31" ca="1">IF($B31="","",IF(ISBLANK(INDIRECT("R9.Web!D"&amp;SUM(18,38*19,12))),"",INDIRECT("R9.Web!D"&amp;SUM(18,38*19,12))))</f>
        <v>Pasa</v>
      </c>
      <c r="BD31" s="215" t="str" cm="1">
        <f t="array" aca="1" ref="BD31" ca="1">IF($B31="","",IF(ISBLANK(INDIRECT("R9.Web!D"&amp;SUM(18,38*20,12))),"",INDIRECT("R9.Web!D"&amp;SUM(18,38*20,12))))</f>
        <v>Pasa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N/A</v>
      </c>
      <c r="BJ31" s="215" t="str" cm="1">
        <f t="array" aca="1" ref="BJ31" ca="1">IF($B31="","",IF(ISBLANK(INDIRECT("R9.Web!D"&amp;SUM(18,38*26,12))),"",INDIRECT("R9.Web!D"&amp;SUM(18,38*26,12))))</f>
        <v>Pasa</v>
      </c>
      <c r="BK31" s="215" t="str" cm="1">
        <f t="array" aca="1" ref="BK31" ca="1">IF($B31="","",IF(ISBLANK(INDIRECT("R9.Web!D"&amp;SUM(18,38*27,12))),"",INDIRECT("R9.Web!D"&amp;SUM(18,38*27,12))))</f>
        <v>Pasa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Pasa</v>
      </c>
      <c r="BP31" s="215" t="str" cm="1">
        <f t="array" aca="1" ref="BP31" ca="1">IF($B31="","",IF(ISBLANK(INDIRECT("R9.Web!D"&amp;SUM(18,38*32,12))),"",INDIRECT("R9.Web!D"&amp;SUM(18,38*32,12))))</f>
        <v>N/A</v>
      </c>
      <c r="BQ31" s="215" t="str" cm="1">
        <f t="array" aca="1" ref="BQ31" ca="1">IF($B31="","",IF(ISBLANK(INDIRECT("R9.Web!D"&amp;SUM(18,38*33,12))),"",INDIRECT("R9.Web!D"&amp;SUM(18,38*33,12))))</f>
        <v>N/A</v>
      </c>
      <c r="BR31" s="215" t="str" cm="1">
        <f t="array" aca="1" ref="BR31" ca="1">IF($B31="","",IF(ISBLANK(INDIRECT("R9.Web!D"&amp;SUM(18,38*34,12))),"",INDIRECT("R9.Web!D"&amp;SUM(18,38*34,12))))</f>
        <v>Pasa</v>
      </c>
      <c r="BS31" s="215" t="str" cm="1">
        <f t="array" aca="1" ref="BS31" ca="1">IF($B31="","",IF(ISBLANK(INDIRECT("R9.Web!D"&amp;SUM(18,38*35,12))),"",INDIRECT("R9.Web!D"&amp;SUM(18,38*35,12))))</f>
        <v>N/A</v>
      </c>
      <c r="BT31" s="215" t="str" cm="1">
        <f t="array" aca="1" ref="BT31" ca="1">IF($B31="","",IF(ISBLANK(INDIRECT("R9.Web!D"&amp;SUM(18,38*36,12))),"",INDIRECT("R9.Web!D"&amp;SUM(18,38*36,12))))</f>
        <v>Falla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N/A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Falla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Pasa</v>
      </c>
      <c r="CE31" s="215" t="str" cm="1">
        <f t="array" aca="1" ref="CE31" ca="1">IF($B31="","",IF(ISBLANK(INDIRECT("R9.Web!D"&amp;SUM(18,38*47,12))),"",INDIRECT("R9.Web!D"&amp;SUM(18,38*47,12))))</f>
        <v>Pasa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N/A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Pasa</v>
      </c>
      <c r="CO31" s="215" t="str" cm="1">
        <f t="array" aca="1" ref="CO31" ca="1">IF($B31="","",IF(ISBLANK(INDIRECT("R12.ServiciosApoyo!D"&amp;SUM(18,38*1,12))),"",INDIRECT("R12.ServiciosApoyo!D"&amp;SUM(18,38*1,12))))</f>
        <v>Falla</v>
      </c>
      <c r="CP31" s="215" t="str" cm="1">
        <f t="array" aca="1" ref="CP31" ca="1">IF($B31="","",IF(ISBLANK(INDIRECT("R12.ServiciosApoyo!D"&amp;SUM(18,38*2,12))),"",INDIRECT("R12.ServiciosApoyo!D"&amp;SUM(18,38*2,12))))</f>
        <v>Pasa</v>
      </c>
      <c r="CQ31" s="215" t="str" cm="1">
        <f t="array" aca="1" ref="CQ31" ca="1">IF($B31="","",IF(ISBLANK(INDIRECT("R12.ServiciosApoyo!D"&amp;SUM(18,38*3,12))),"",INDIRECT("R12.ServiciosApoyo!D"&amp;SUM(18,38*3,12))))</f>
        <v>Falla</v>
      </c>
      <c r="CR31" s="215" t="str" cm="1">
        <f t="array" aca="1" ref="CR31" ca="1">IF($B31="","",IF(ISBLANK(INDIRECT("R12.ServiciosApoyo!D"&amp;SUM(18,38*4,12))),"",INDIRECT("R12.ServiciosApoyo!D"&amp;SUM(18,38*4,12))))</f>
        <v>Falla</v>
      </c>
      <c r="CU31" s="100"/>
      <c r="CV31" s="29"/>
      <c r="CW31" s="29"/>
      <c r="CX31" s="29"/>
    </row>
    <row r="32" spans="2:102" ht="20.25">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Proveedores</v>
      </c>
      <c r="D32" s="98" t="str" cm="1">
        <f t="array" ref="D32">IFERROR(INDEX('03.Muestra'!$F$8:$F$42,SMALL(IF("Página Web"='03.Muestra'!$D$8:$D$42,ROW('03.Muestra'!$F$8:$F$42)-MIN(ROW('03.Muestra'!$D$8:$D$42))+1,""),ROW()-19)),"")</f>
        <v>https://www.comunidad.madrid/hospital/clinicosancarlos/nosotros/proveedores-0</v>
      </c>
      <c r="E32" s="215" t="str" cm="1">
        <f t="array" aca="1" ref="E32" ca="1">IF($B32="","",IF(ISBLANK(INDIRECT("R5.Genéricos!D"&amp;SUM(18,38*0,13))),"",INDIRECT("R5.Genéricos!D"&amp;SUM(18,38*0,13))))</f>
        <v>N/A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Falla</v>
      </c>
      <c r="AN32" s="215" t="str" cm="1">
        <f t="array" aca="1" ref="AN32" ca="1">IF($B32="","",IF(ISBLANK(INDIRECT("R9.Web!D"&amp;SUM(18,38*4,13))),"",INDIRECT("R9.Web!D"&amp;SUM(18,38*4,13))))</f>
        <v>Falla</v>
      </c>
      <c r="AO32" s="215" t="str" cm="1">
        <f t="array" aca="1" ref="AO32" ca="1">IF($B32="","",IF(ISBLANK(INDIRECT("R9.Web!D"&amp;SUM(18,38*5,13))),"",INDIRECT("R9.Web!D"&amp;SUM(18,38*5,13))))</f>
        <v>Falla</v>
      </c>
      <c r="AP32" s="215" t="str" cm="1">
        <f t="array" aca="1" ref="AP32" ca="1">IF($B32="","",IF(ISBLANK(INDIRECT("R9.Web!D"&amp;SUM(18,38*6,13))),"",INDIRECT("R9.Web!D"&amp;SUM(18,38*6,13))))</f>
        <v>Pasa</v>
      </c>
      <c r="AQ32" s="215" t="str" cm="1">
        <f t="array" aca="1" ref="AQ32" ca="1">IF($B32="","",IF(ISBLANK(INDIRECT("R9.Web!D"&amp;SUM(18,38*7,13))),"",INDIRECT("R9.Web!D"&amp;SUM(18,38*7,13))))</f>
        <v>N/A</v>
      </c>
      <c r="AR32" s="215" t="str" cm="1">
        <f t="array" aca="1" ref="AR32" ca="1">IF($B32="","",IF(ISBLANK(INDIRECT("R9.Web!D"&amp;SUM(18,38*8,13))),"",INDIRECT("R9.Web!D"&amp;SUM(18,38*8,13))))</f>
        <v>N/A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Pasa</v>
      </c>
      <c r="AZ32" s="215" t="str" cm="1">
        <f t="array" aca="1" ref="AZ32" ca="1">IF($B32="","",IF(ISBLANK(INDIRECT("R9.Web!D"&amp;SUM(18,38*16,13))),"",INDIRECT("R9.Web!D"&amp;SUM(18,38*16,13))))</f>
        <v>Falla</v>
      </c>
      <c r="BA32" s="215" t="str" cm="1">
        <f t="array" aca="1" ref="BA32" ca="1">IF($B32="","",IF(ISBLANK(INDIRECT("R9.Web!D"&amp;SUM(18,38*17,13))),"",INDIRECT("R9.Web!D"&amp;SUM(18,38*17,13))))</f>
        <v>Pasa</v>
      </c>
      <c r="BB32" s="215" t="str" cm="1">
        <f t="array" aca="1" ref="BB32" ca="1">IF($B32="","",IF(ISBLANK(INDIRECT("R9.Web!D"&amp;SUM(18,38*18,13))),"",INDIRECT("R9.Web!D"&amp;SUM(18,38*18,13))))</f>
        <v>Pasa</v>
      </c>
      <c r="BC32" s="215" t="str" cm="1">
        <f t="array" aca="1" ref="BC32" ca="1">IF($B32="","",IF(ISBLANK(INDIRECT("R9.Web!D"&amp;SUM(18,38*19,13))),"",INDIRECT("R9.Web!D"&amp;SUM(18,38*19,13))))</f>
        <v>Pasa</v>
      </c>
      <c r="BD32" s="215" t="str" cm="1">
        <f t="array" aca="1" ref="BD32" ca="1">IF($B32="","",IF(ISBLANK(INDIRECT("R9.Web!D"&amp;SUM(18,38*20,13))),"",INDIRECT("R9.Web!D"&amp;SUM(18,38*20,13))))</f>
        <v>Pasa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N/A</v>
      </c>
      <c r="BJ32" s="215" t="str" cm="1">
        <f t="array" aca="1" ref="BJ32" ca="1">IF($B32="","",IF(ISBLANK(INDIRECT("R9.Web!D"&amp;SUM(18,38*26,13))),"",INDIRECT("R9.Web!D"&amp;SUM(18,38*26,13))))</f>
        <v>Pasa</v>
      </c>
      <c r="BK32" s="215" t="str" cm="1">
        <f t="array" aca="1" ref="BK32" ca="1">IF($B32="","",IF(ISBLANK(INDIRECT("R9.Web!D"&amp;SUM(18,38*27,13))),"",INDIRECT("R9.Web!D"&amp;SUM(18,38*27,13))))</f>
        <v>Pasa</v>
      </c>
      <c r="BL32" s="215" t="str" cm="1">
        <f t="array" aca="1" ref="BL32" ca="1">IF($B32="","",IF(ISBLANK(INDIRECT("R9.Web!D"&amp;SUM(18,38*28,13))),"",INDIRECT("R9.Web!D"&amp;SUM(18,38*28,13))))</f>
        <v>Pasa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N/A</v>
      </c>
      <c r="BR32" s="215" t="str" cm="1">
        <f t="array" aca="1" ref="BR32" ca="1">IF($B32="","",IF(ISBLANK(INDIRECT("R9.Web!D"&amp;SUM(18,38*34,13))),"",INDIRECT("R9.Web!D"&amp;SUM(18,38*34,13))))</f>
        <v>Pasa</v>
      </c>
      <c r="BS32" s="215" t="str" cm="1">
        <f t="array" aca="1" ref="BS32" ca="1">IF($B32="","",IF(ISBLANK(INDIRECT("R9.Web!D"&amp;SUM(18,38*35,13))),"",INDIRECT("R9.Web!D"&amp;SUM(18,38*35,13))))</f>
        <v>N/A</v>
      </c>
      <c r="BT32" s="215" t="str" cm="1">
        <f t="array" aca="1" ref="BT32" ca="1">IF($B32="","",IF(ISBLANK(INDIRECT("R9.Web!D"&amp;SUM(18,38*36,13))),"",INDIRECT("R9.Web!D"&amp;SUM(18,38*36,13))))</f>
        <v>Falla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N/A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Falla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Pasa</v>
      </c>
      <c r="CE32" s="215" t="str" cm="1">
        <f t="array" aca="1" ref="CE32" ca="1">IF($B32="","",IF(ISBLANK(INDIRECT("R9.Web!D"&amp;SUM(18,38*47,13))),"",INDIRECT("R9.Web!D"&amp;SUM(18,38*47,13))))</f>
        <v>Pasa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N/A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Pasa</v>
      </c>
      <c r="CO32" s="215" t="str" cm="1">
        <f t="array" aca="1" ref="CO32" ca="1">IF($B32="","",IF(ISBLANK(INDIRECT("R12.ServiciosApoyo!D"&amp;SUM(18,38*1,13))),"",INDIRECT("R12.ServiciosApoyo!D"&amp;SUM(18,38*1,13))))</f>
        <v>Falla</v>
      </c>
      <c r="CP32" s="215" t="str" cm="1">
        <f t="array" aca="1" ref="CP32" ca="1">IF($B32="","",IF(ISBLANK(INDIRECT("R12.ServiciosApoyo!D"&amp;SUM(18,38*2,13))),"",INDIRECT("R12.ServiciosApoyo!D"&amp;SUM(18,38*2,13))))</f>
        <v>Pasa</v>
      </c>
      <c r="CQ32" s="215" t="str" cm="1">
        <f t="array" aca="1" ref="CQ32" ca="1">IF($B32="","",IF(ISBLANK(INDIRECT("R12.ServiciosApoyo!D"&amp;SUM(18,38*3,13))),"",INDIRECT("R12.ServiciosApoyo!D"&amp;SUM(18,38*3,13))))</f>
        <v>Falla</v>
      </c>
      <c r="CR32" s="215" t="str" cm="1">
        <f t="array" aca="1" ref="CR32" ca="1">IF($B32="","",IF(ISBLANK(INDIRECT("R12.ServiciosApoyo!D"&amp;SUM(18,38*4,13))),"",INDIRECT("R12.ServiciosApoyo!D"&amp;SUM(18,38*4,13))))</f>
        <v>Falla</v>
      </c>
      <c r="CU32" s="100"/>
      <c r="CV32" s="29"/>
      <c r="CW32" s="29"/>
      <c r="CX32" s="29"/>
    </row>
    <row r="33" spans="2:102" ht="20.25">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Aviso legal</v>
      </c>
      <c r="D33" s="98" t="str" cm="1">
        <f t="array" ref="D33">IFERROR(INDEX('03.Muestra'!$F$8:$F$42,SMALL(IF("Página Web"='03.Muestra'!$D$8:$D$42,ROW('03.Muestra'!$F$8:$F$42)-MIN(ROW('03.Muestra'!$D$8:$D$42))+1,""),ROW()-19)),"")</f>
        <v>https://www.comunidad.madrid/hospital/clinicosancarlos/aviso-legal-privacidad</v>
      </c>
      <c r="E33" s="215" t="str" cm="1">
        <f t="array" aca="1" ref="E33" ca="1">IF($B33="","",IF(ISBLANK(INDIRECT("R5.Genéricos!D"&amp;SUM(18,38*0,14))),"",INDIRECT("R5.Genéricos!D"&amp;SUM(18,38*0,14))))</f>
        <v>N/A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Falla</v>
      </c>
      <c r="AN33" s="215" t="str" cm="1">
        <f t="array" aca="1" ref="AN33" ca="1">IF($B33="","",IF(ISBLANK(INDIRECT("R9.Web!D"&amp;SUM(18,38*4,14))),"",INDIRECT("R9.Web!D"&amp;SUM(18,38*4,14))))</f>
        <v>Falla</v>
      </c>
      <c r="AO33" s="215" t="str" cm="1">
        <f t="array" aca="1" ref="AO33" ca="1">IF($B33="","",IF(ISBLANK(INDIRECT("R9.Web!D"&amp;SUM(18,38*5,14))),"",INDIRECT("R9.Web!D"&amp;SUM(18,38*5,14))))</f>
        <v>Falla</v>
      </c>
      <c r="AP33" s="215" t="str" cm="1">
        <f t="array" aca="1" ref="AP33" ca="1">IF($B33="","",IF(ISBLANK(INDIRECT("R9.Web!D"&amp;SUM(18,38*6,14))),"",INDIRECT("R9.Web!D"&amp;SUM(18,38*6,14))))</f>
        <v>Pasa</v>
      </c>
      <c r="AQ33" s="215" t="str" cm="1">
        <f t="array" aca="1" ref="AQ33" ca="1">IF($B33="","",IF(ISBLANK(INDIRECT("R9.Web!D"&amp;SUM(18,38*7,14))),"",INDIRECT("R9.Web!D"&amp;SUM(18,38*7,14))))</f>
        <v>N/A</v>
      </c>
      <c r="AR33" s="215" t="str" cm="1">
        <f t="array" aca="1" ref="AR33" ca="1">IF($B33="","",IF(ISBLANK(INDIRECT("R9.Web!D"&amp;SUM(18,38*8,14))),"",INDIRECT("R9.Web!D"&amp;SUM(18,38*8,14))))</f>
        <v>N/A</v>
      </c>
      <c r="AS33" s="215" t="str" cm="1">
        <f t="array" aca="1" ref="AS33" ca="1">IF($B33="","",IF(ISBLANK(INDIRECT("R9.Web!D"&amp;SUM(18,38*9,14))),"",INDIRECT("R9.Web!D"&amp;SUM(18,38*9,14))))</f>
        <v>N/A</v>
      </c>
      <c r="AT33" s="215" t="str" cm="1">
        <f t="array" aca="1" ref="AT33" ca="1">IF($B33="","",IF(ISBLANK(INDIRECT("R9.Web!D"&amp;SUM(18,38*10,14))),"",INDIRECT("R9.Web!D"&amp;SUM(18,38*10,14))))</f>
        <v>Pasa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Pasa</v>
      </c>
      <c r="AZ33" s="215" t="str" cm="1">
        <f t="array" aca="1" ref="AZ33" ca="1">IF($B33="","",IF(ISBLANK(INDIRECT("R9.Web!D"&amp;SUM(18,38*16,14))),"",INDIRECT("R9.Web!D"&amp;SUM(18,38*16,14))))</f>
        <v>Falla</v>
      </c>
      <c r="BA33" s="215" t="str" cm="1">
        <f t="array" aca="1" ref="BA33" ca="1">IF($B33="","",IF(ISBLANK(INDIRECT("R9.Web!D"&amp;SUM(18,38*17,14))),"",INDIRECT("R9.Web!D"&amp;SUM(18,38*17,14))))</f>
        <v>Pasa</v>
      </c>
      <c r="BB33" s="215" t="str" cm="1">
        <f t="array" aca="1" ref="BB33" ca="1">IF($B33="","",IF(ISBLANK(INDIRECT("R9.Web!D"&amp;SUM(18,38*18,14))),"",INDIRECT("R9.Web!D"&amp;SUM(18,38*18,14))))</f>
        <v>Pasa</v>
      </c>
      <c r="BC33" s="215" t="str" cm="1">
        <f t="array" aca="1" ref="BC33" ca="1">IF($B33="","",IF(ISBLANK(INDIRECT("R9.Web!D"&amp;SUM(18,38*19,14))),"",INDIRECT("R9.Web!D"&amp;SUM(18,38*19,14))))</f>
        <v>Pasa</v>
      </c>
      <c r="BD33" s="215" t="str" cm="1">
        <f t="array" aca="1" ref="BD33" ca="1">IF($B33="","",IF(ISBLANK(INDIRECT("R9.Web!D"&amp;SUM(18,38*20,14))),"",INDIRECT("R9.Web!D"&amp;SUM(18,38*20,14))))</f>
        <v>Pasa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N/A</v>
      </c>
      <c r="BJ33" s="215" t="str" cm="1">
        <f t="array" aca="1" ref="BJ33" ca="1">IF($B33="","",IF(ISBLANK(INDIRECT("R9.Web!D"&amp;SUM(18,38*26,14))),"",INDIRECT("R9.Web!D"&amp;SUM(18,38*26,14))))</f>
        <v>Pasa</v>
      </c>
      <c r="BK33" s="215" t="str" cm="1">
        <f t="array" aca="1" ref="BK33" ca="1">IF($B33="","",IF(ISBLANK(INDIRECT("R9.Web!D"&amp;SUM(18,38*27,14))),"",INDIRECT("R9.Web!D"&amp;SUM(18,38*27,14))))</f>
        <v>Pasa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Pasa</v>
      </c>
      <c r="BP33" s="215" t="str" cm="1">
        <f t="array" aca="1" ref="BP33" ca="1">IF($B33="","",IF(ISBLANK(INDIRECT("R9.Web!D"&amp;SUM(18,38*32,14))),"",INDIRECT("R9.Web!D"&amp;SUM(18,38*32,14))))</f>
        <v>N/A</v>
      </c>
      <c r="BQ33" s="215" t="str" cm="1">
        <f t="array" aca="1" ref="BQ33" ca="1">IF($B33="","",IF(ISBLANK(INDIRECT("R9.Web!D"&amp;SUM(18,38*33,14))),"",INDIRECT("R9.Web!D"&amp;SUM(18,38*33,14))))</f>
        <v>N/A</v>
      </c>
      <c r="BR33" s="215" t="str" cm="1">
        <f t="array" aca="1" ref="BR33" ca="1">IF($B33="","",IF(ISBLANK(INDIRECT("R9.Web!D"&amp;SUM(18,38*34,14))),"",INDIRECT("R9.Web!D"&amp;SUM(18,38*34,14))))</f>
        <v>Pasa</v>
      </c>
      <c r="BS33" s="215" t="str" cm="1">
        <f t="array" aca="1" ref="BS33" ca="1">IF($B33="","",IF(ISBLANK(INDIRECT("R9.Web!D"&amp;SUM(18,38*35,14))),"",INDIRECT("R9.Web!D"&amp;SUM(18,38*35,14))))</f>
        <v>N/A</v>
      </c>
      <c r="BT33" s="215" t="str" cm="1">
        <f t="array" aca="1" ref="BT33" ca="1">IF($B33="","",IF(ISBLANK(INDIRECT("R9.Web!D"&amp;SUM(18,38*36,14))),"",INDIRECT("R9.Web!D"&amp;SUM(18,38*36,14))))</f>
        <v>Falla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N/A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Falla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Pasa</v>
      </c>
      <c r="CE33" s="215" t="str" cm="1">
        <f t="array" aca="1" ref="CE33" ca="1">IF($B33="","",IF(ISBLANK(INDIRECT("R9.Web!D"&amp;SUM(18,38*47,14))),"",INDIRECT("R9.Web!D"&amp;SUM(18,38*47,14))))</f>
        <v>Pasa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N/A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Pasa</v>
      </c>
      <c r="CO33" s="215" t="str" cm="1">
        <f t="array" aca="1" ref="CO33" ca="1">IF($B33="","",IF(ISBLANK(INDIRECT("R12.ServiciosApoyo!D"&amp;SUM(18,38*1,14))),"",INDIRECT("R12.ServiciosApoyo!D"&amp;SUM(18,38*1,14))))</f>
        <v>Falla</v>
      </c>
      <c r="CP33" s="215" t="str" cm="1">
        <f t="array" aca="1" ref="CP33" ca="1">IF($B33="","",IF(ISBLANK(INDIRECT("R12.ServiciosApoyo!D"&amp;SUM(18,38*2,14))),"",INDIRECT("R12.ServiciosApoyo!D"&amp;SUM(18,38*2,14))))</f>
        <v>Pasa</v>
      </c>
      <c r="CQ33" s="215" t="str" cm="1">
        <f t="array" aca="1" ref="CQ33" ca="1">IF($B33="","",IF(ISBLANK(INDIRECT("R12.ServiciosApoyo!D"&amp;SUM(18,38*3,14))),"",INDIRECT("R12.ServiciosApoyo!D"&amp;SUM(18,38*3,14))))</f>
        <v>Falla</v>
      </c>
      <c r="CR33" s="215" t="str" cm="1">
        <f t="array" aca="1" ref="CR33" ca="1">IF($B33="","",IF(ISBLANK(INDIRECT("R12.ServiciosApoyo!D"&amp;SUM(18,38*4,14))),"",INDIRECT("R12.ServiciosApoyo!D"&amp;SUM(18,38*4,14))))</f>
        <v>Falla</v>
      </c>
      <c r="CU33" s="100"/>
      <c r="CV33" s="29"/>
      <c r="CW33" s="29"/>
      <c r="CX33" s="29"/>
    </row>
    <row r="34" spans="2:102" ht="20.25">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Mapa web</v>
      </c>
      <c r="D34" s="98" t="str" cm="1">
        <f t="array" ref="D34">IFERROR(INDEX('03.Muestra'!$F$8:$F$42,SMALL(IF("Página Web"='03.Muestra'!$D$8:$D$42,ROW('03.Muestra'!$F$8:$F$42)-MIN(ROW('03.Muestra'!$D$8:$D$42))+1,""),ROW()-19)),"")</f>
        <v>https://www.comunidad.madrid/hospital/clinicosancarlos/sitemap</v>
      </c>
      <c r="E34" s="215" t="str" cm="1">
        <f t="array" aca="1" ref="E34" ca="1">IF($B34="","",IF(ISBLANK(INDIRECT("R5.Genéricos!D"&amp;SUM(18,38*0,15))),"",INDIRECT("R5.Genéricos!D"&amp;SUM(18,38*0,15))))</f>
        <v>N/A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Falla</v>
      </c>
      <c r="AN34" s="215" t="str" cm="1">
        <f t="array" aca="1" ref="AN34" ca="1">IF($B34="","",IF(ISBLANK(INDIRECT("R9.Web!D"&amp;SUM(18,38*4,15))),"",INDIRECT("R9.Web!D"&amp;SUM(18,38*4,15))))</f>
        <v>Falla</v>
      </c>
      <c r="AO34" s="215" t="str" cm="1">
        <f t="array" aca="1" ref="AO34" ca="1">IF($B34="","",IF(ISBLANK(INDIRECT("R9.Web!D"&amp;SUM(18,38*5,15))),"",INDIRECT("R9.Web!D"&amp;SUM(18,38*5,15))))</f>
        <v>Falla</v>
      </c>
      <c r="AP34" s="215" t="str" cm="1">
        <f t="array" aca="1" ref="AP34" ca="1">IF($B34="","",IF(ISBLANK(INDIRECT("R9.Web!D"&amp;SUM(18,38*6,15))),"",INDIRECT("R9.Web!D"&amp;SUM(18,38*6,15))))</f>
        <v>Pasa</v>
      </c>
      <c r="AQ34" s="215" t="str" cm="1">
        <f t="array" aca="1" ref="AQ34" ca="1">IF($B34="","",IF(ISBLANK(INDIRECT("R9.Web!D"&amp;SUM(18,38*7,15))),"",INDIRECT("R9.Web!D"&amp;SUM(18,38*7,15))))</f>
        <v>N/A</v>
      </c>
      <c r="AR34" s="215" t="str" cm="1">
        <f t="array" aca="1" ref="AR34" ca="1">IF($B34="","",IF(ISBLANK(INDIRECT("R9.Web!D"&amp;SUM(18,38*8,15))),"",INDIRECT("R9.Web!D"&amp;SUM(18,38*8,15))))</f>
        <v>N/A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Pasa</v>
      </c>
      <c r="AZ34" s="215" t="str" cm="1">
        <f t="array" aca="1" ref="AZ34" ca="1">IF($B34="","",IF(ISBLANK(INDIRECT("R9.Web!D"&amp;SUM(18,38*16,15))),"",INDIRECT("R9.Web!D"&amp;SUM(18,38*16,15))))</f>
        <v>Pasa</v>
      </c>
      <c r="BA34" s="215" t="str" cm="1">
        <f t="array" aca="1" ref="BA34" ca="1">IF($B34="","",IF(ISBLANK(INDIRECT("R9.Web!D"&amp;SUM(18,38*17,15))),"",INDIRECT("R9.Web!D"&amp;SUM(18,38*17,15))))</f>
        <v>Pasa</v>
      </c>
      <c r="BB34" s="215" t="str" cm="1">
        <f t="array" aca="1" ref="BB34" ca="1">IF($B34="","",IF(ISBLANK(INDIRECT("R9.Web!D"&amp;SUM(18,38*18,15))),"",INDIRECT("R9.Web!D"&amp;SUM(18,38*18,15))))</f>
        <v>Pasa</v>
      </c>
      <c r="BC34" s="215" t="str" cm="1">
        <f t="array" aca="1" ref="BC34" ca="1">IF($B34="","",IF(ISBLANK(INDIRECT("R9.Web!D"&amp;SUM(18,38*19,15))),"",INDIRECT("R9.Web!D"&amp;SUM(18,38*19,15))))</f>
        <v>Pasa</v>
      </c>
      <c r="BD34" s="215" t="str" cm="1">
        <f t="array" aca="1" ref="BD34" ca="1">IF($B34="","",IF(ISBLANK(INDIRECT("R9.Web!D"&amp;SUM(18,38*20,15))),"",INDIRECT("R9.Web!D"&amp;SUM(18,38*20,15))))</f>
        <v>Pasa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N/A</v>
      </c>
      <c r="BJ34" s="215" t="str" cm="1">
        <f t="array" aca="1" ref="BJ34" ca="1">IF($B34="","",IF(ISBLANK(INDIRECT("R9.Web!D"&amp;SUM(18,38*26,15))),"",INDIRECT("R9.Web!D"&amp;SUM(18,38*26,15))))</f>
        <v>Pasa</v>
      </c>
      <c r="BK34" s="215" t="str" cm="1">
        <f t="array" aca="1" ref="BK34" ca="1">IF($B34="","",IF(ISBLANK(INDIRECT("R9.Web!D"&amp;SUM(18,38*27,15))),"",INDIRECT("R9.Web!D"&amp;SUM(18,38*27,15))))</f>
        <v>Pasa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Pasa</v>
      </c>
      <c r="BP34" s="215" t="str" cm="1">
        <f t="array" aca="1" ref="BP34" ca="1">IF($B34="","",IF(ISBLANK(INDIRECT("R9.Web!D"&amp;SUM(18,38*32,15))),"",INDIRECT("R9.Web!D"&amp;SUM(18,38*32,15))))</f>
        <v>N/A</v>
      </c>
      <c r="BQ34" s="215" t="str" cm="1">
        <f t="array" aca="1" ref="BQ34" ca="1">IF($B34="","",IF(ISBLANK(INDIRECT("R9.Web!D"&amp;SUM(18,38*33,15))),"",INDIRECT("R9.Web!D"&amp;SUM(18,38*33,15))))</f>
        <v>N/A</v>
      </c>
      <c r="BR34" s="215" t="str" cm="1">
        <f t="array" aca="1" ref="BR34" ca="1">IF($B34="","",IF(ISBLANK(INDIRECT("R9.Web!D"&amp;SUM(18,38*34,15))),"",INDIRECT("R9.Web!D"&amp;SUM(18,38*34,15))))</f>
        <v>Pasa</v>
      </c>
      <c r="BS34" s="215" t="str" cm="1">
        <f t="array" aca="1" ref="BS34" ca="1">IF($B34="","",IF(ISBLANK(INDIRECT("R9.Web!D"&amp;SUM(18,38*35,15))),"",INDIRECT("R9.Web!D"&amp;SUM(18,38*35,15))))</f>
        <v>N/A</v>
      </c>
      <c r="BT34" s="215" t="str" cm="1">
        <f t="array" aca="1" ref="BT34" ca="1">IF($B34="","",IF(ISBLANK(INDIRECT("R9.Web!D"&amp;SUM(18,38*36,15))),"",INDIRECT("R9.Web!D"&amp;SUM(18,38*36,15))))</f>
        <v>Falla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N/A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Falla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Pasa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N/A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Pasa</v>
      </c>
      <c r="CO34" s="215" t="str" cm="1">
        <f t="array" aca="1" ref="CO34" ca="1">IF($B34="","",IF(ISBLANK(INDIRECT("R12.ServiciosApoyo!D"&amp;SUM(18,38*1,15))),"",INDIRECT("R12.ServiciosApoyo!D"&amp;SUM(18,38*1,15))))</f>
        <v>Falla</v>
      </c>
      <c r="CP34" s="215" t="str" cm="1">
        <f t="array" aca="1" ref="CP34" ca="1">IF($B34="","",IF(ISBLANK(INDIRECT("R12.ServiciosApoyo!D"&amp;SUM(18,38*2,15))),"",INDIRECT("R12.ServiciosApoyo!D"&amp;SUM(18,38*2,15))))</f>
        <v>Pasa</v>
      </c>
      <c r="CQ34" s="215" t="str" cm="1">
        <f t="array" aca="1" ref="CQ34" ca="1">IF($B34="","",IF(ISBLANK(INDIRECT("R12.ServiciosApoyo!D"&amp;SUM(18,38*3,15))),"",INDIRECT("R12.ServiciosApoyo!D"&amp;SUM(18,38*3,15))))</f>
        <v>Falla</v>
      </c>
      <c r="CR34" s="215" t="str" cm="1">
        <f t="array" aca="1" ref="CR34" ca="1">IF($B34="","",IF(ISBLANK(INDIRECT("R12.ServiciosApoyo!D"&amp;SUM(18,38*4,15))),"",INDIRECT("R12.ServiciosApoyo!D"&amp;SUM(18,38*4,15))))</f>
        <v>Falla</v>
      </c>
      <c r="CU34" s="100"/>
      <c r="CV34" s="29"/>
      <c r="CW34" s="29"/>
      <c r="CX34" s="29"/>
    </row>
    <row r="35" spans="2:102" ht="20.25">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Accesibilidad</v>
      </c>
      <c r="D35" s="98" t="str" cm="1">
        <f t="array" ref="D35">IFERROR(INDEX('03.Muestra'!$F$8:$F$42,SMALL(IF("Página Web"='03.Muestra'!$D$8:$D$42,ROW('03.Muestra'!$F$8:$F$42)-MIN(ROW('03.Muestra'!$D$8:$D$42))+1,""),ROW()-19)),"")</f>
        <v>https://www.comunidad.madrid/hospital/clinicosancarlos/declaracion-accesibilidad</v>
      </c>
      <c r="E35" s="215" t="str" cm="1">
        <f t="array" aca="1" ref="E35" ca="1">IF($B35="","",IF(ISBLANK(INDIRECT("R5.Genéricos!D"&amp;SUM(18,38*0,16))),"",INDIRECT("R5.Genéricos!D"&amp;SUM(18,38*0,16))))</f>
        <v>N/A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Pasa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Falla</v>
      </c>
      <c r="AN35" s="215" t="str" cm="1">
        <f t="array" aca="1" ref="AN35" ca="1">IF($B35="","",IF(ISBLANK(INDIRECT("R9.Web!D"&amp;SUM(18,38*4,16))),"",INDIRECT("R9.Web!D"&amp;SUM(18,38*4,16))))</f>
        <v>Falla</v>
      </c>
      <c r="AO35" s="215" t="str" cm="1">
        <f t="array" aca="1" ref="AO35" ca="1">IF($B35="","",IF(ISBLANK(INDIRECT("R9.Web!D"&amp;SUM(18,38*5,16))),"",INDIRECT("R9.Web!D"&amp;SUM(18,38*5,16))))</f>
        <v>Falla</v>
      </c>
      <c r="AP35" s="215" t="str" cm="1">
        <f t="array" aca="1" ref="AP35" ca="1">IF($B35="","",IF(ISBLANK(INDIRECT("R9.Web!D"&amp;SUM(18,38*6,16))),"",INDIRECT("R9.Web!D"&amp;SUM(18,38*6,16))))</f>
        <v>Pasa</v>
      </c>
      <c r="AQ35" s="215" t="str" cm="1">
        <f t="array" aca="1" ref="AQ35" ca="1">IF($B35="","",IF(ISBLANK(INDIRECT("R9.Web!D"&amp;SUM(18,38*7,16))),"",INDIRECT("R9.Web!D"&amp;SUM(18,38*7,16))))</f>
        <v>N/A</v>
      </c>
      <c r="AR35" s="215" t="str" cm="1">
        <f t="array" aca="1" ref="AR35" ca="1">IF($B35="","",IF(ISBLANK(INDIRECT("R9.Web!D"&amp;SUM(18,38*8,16))),"",INDIRECT("R9.Web!D"&amp;SUM(18,38*8,16))))</f>
        <v>N/A</v>
      </c>
      <c r="AS35" s="215" t="str" cm="1">
        <f t="array" aca="1" ref="AS35" ca="1">IF($B35="","",IF(ISBLANK(INDIRECT("R9.Web!D"&amp;SUM(18,38*9,16))),"",INDIRECT("R9.Web!D"&amp;SUM(18,38*9,16))))</f>
        <v>N/A</v>
      </c>
      <c r="AT35" s="215" t="str" cm="1">
        <f t="array" aca="1" ref="AT35" ca="1">IF($B35="","",IF(ISBLANK(INDIRECT("R9.Web!D"&amp;SUM(18,38*10,16))),"",INDIRECT("R9.Web!D"&amp;SUM(18,38*10,16))))</f>
        <v>Pasa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Pasa</v>
      </c>
      <c r="AZ35" s="215" t="str" cm="1">
        <f t="array" aca="1" ref="AZ35" ca="1">IF($B35="","",IF(ISBLANK(INDIRECT("R9.Web!D"&amp;SUM(18,38*16,16))),"",INDIRECT("R9.Web!D"&amp;SUM(18,38*16,16))))</f>
        <v>Pasa</v>
      </c>
      <c r="BA35" s="215" t="str" cm="1">
        <f t="array" aca="1" ref="BA35" ca="1">IF($B35="","",IF(ISBLANK(INDIRECT("R9.Web!D"&amp;SUM(18,38*17,16))),"",INDIRECT("R9.Web!D"&amp;SUM(18,38*17,16))))</f>
        <v>Pasa</v>
      </c>
      <c r="BB35" s="215" t="str" cm="1">
        <f t="array" aca="1" ref="BB35" ca="1">IF($B35="","",IF(ISBLANK(INDIRECT("R9.Web!D"&amp;SUM(18,38*18,16))),"",INDIRECT("R9.Web!D"&amp;SUM(18,38*18,16))))</f>
        <v>Pasa</v>
      </c>
      <c r="BC35" s="215" t="str" cm="1">
        <f t="array" aca="1" ref="BC35" ca="1">IF($B35="","",IF(ISBLANK(INDIRECT("R9.Web!D"&amp;SUM(18,38*19,16))),"",INDIRECT("R9.Web!D"&amp;SUM(18,38*19,16))))</f>
        <v>Pasa</v>
      </c>
      <c r="BD35" s="215" t="str" cm="1">
        <f t="array" aca="1" ref="BD35" ca="1">IF($B35="","",IF(ISBLANK(INDIRECT("R9.Web!D"&amp;SUM(18,38*20,16))),"",INDIRECT("R9.Web!D"&amp;SUM(18,38*20,16))))</f>
        <v>Pasa</v>
      </c>
      <c r="BE35" s="215" t="str" cm="1">
        <f t="array" aca="1" ref="BE35" ca="1">IF($B35="","",IF(ISBLANK(INDIRECT("R9.Web!D"&amp;SUM(18,38*21,16))),"",INDIRECT("R9.Web!D"&amp;SUM(18,38*21,16))))</f>
        <v>N/A</v>
      </c>
      <c r="BF35" s="215" t="str" cm="1">
        <f t="array" aca="1" ref="BF35" ca="1">IF($B35="","",IF(ISBLANK(INDIRECT("R9.Web!D"&amp;SUM(18,38*22,16))),"",INDIRECT("R9.Web!D"&amp;SUM(18,38*22,16))))</f>
        <v>N/A</v>
      </c>
      <c r="BG35" s="215" t="str" cm="1">
        <f t="array" aca="1" ref="BG35" ca="1">IF($B35="","",IF(ISBLANK(INDIRECT("R9.Web!D"&amp;SUM(18,38*23,16))),"",INDIRECT("R9.Web!D"&amp;SUM(18,38*23,16))))</f>
        <v>N/A</v>
      </c>
      <c r="BH35" s="215" t="str" cm="1">
        <f t="array" aca="1" ref="BH35" ca="1">IF($B35="","",IF(ISBLANK(INDIRECT("R9.Web!D"&amp;SUM(18,38*24,16))),"",INDIRECT("R9.Web!D"&amp;SUM(18,38*24,16))))</f>
        <v>N/A</v>
      </c>
      <c r="BI35" s="215" t="str" cm="1">
        <f t="array" aca="1" ref="BI35" ca="1">IF($B35="","",IF(ISBLANK(INDIRECT("R9.Web!D"&amp;SUM(18,38*25,16))),"",INDIRECT("R9.Web!D"&amp;SUM(18,38*25,16))))</f>
        <v>N/A</v>
      </c>
      <c r="BJ35" s="215" t="str" cm="1">
        <f t="array" aca="1" ref="BJ35" ca="1">IF($B35="","",IF(ISBLANK(INDIRECT("R9.Web!D"&amp;SUM(18,38*26,16))),"",INDIRECT("R9.Web!D"&amp;SUM(18,38*26,16))))</f>
        <v>Pasa</v>
      </c>
      <c r="BK35" s="215" t="str" cm="1">
        <f t="array" aca="1" ref="BK35" ca="1">IF($B35="","",IF(ISBLANK(INDIRECT("R9.Web!D"&amp;SUM(18,38*27,16))),"",INDIRECT("R9.Web!D"&amp;SUM(18,38*27,16))))</f>
        <v>Pasa</v>
      </c>
      <c r="BL35" s="215" t="str" cm="1">
        <f t="array" aca="1" ref="BL35" ca="1">IF($B35="","",IF(ISBLANK(INDIRECT("R9.Web!D"&amp;SUM(18,38*28,16))),"",INDIRECT("R9.Web!D"&amp;SUM(18,38*28,16))))</f>
        <v>Pasa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Pasa</v>
      </c>
      <c r="BP35" s="215" t="str" cm="1">
        <f t="array" aca="1" ref="BP35" ca="1">IF($B35="","",IF(ISBLANK(INDIRECT("R9.Web!D"&amp;SUM(18,38*32,16))),"",INDIRECT("R9.Web!D"&amp;SUM(18,38*32,16))))</f>
        <v>N/A</v>
      </c>
      <c r="BQ35" s="215" t="str" cm="1">
        <f t="array" aca="1" ref="BQ35" ca="1">IF($B35="","",IF(ISBLANK(INDIRECT("R9.Web!D"&amp;SUM(18,38*33,16))),"",INDIRECT("R9.Web!D"&amp;SUM(18,38*33,16))))</f>
        <v>N/A</v>
      </c>
      <c r="BR35" s="215" t="str" cm="1">
        <f t="array" aca="1" ref="BR35" ca="1">IF($B35="","",IF(ISBLANK(INDIRECT("R9.Web!D"&amp;SUM(18,38*34,16))),"",INDIRECT("R9.Web!D"&amp;SUM(18,38*34,16))))</f>
        <v>Pasa</v>
      </c>
      <c r="BS35" s="215" t="str" cm="1">
        <f t="array" aca="1" ref="BS35" ca="1">IF($B35="","",IF(ISBLANK(INDIRECT("R9.Web!D"&amp;SUM(18,38*35,16))),"",INDIRECT("R9.Web!D"&amp;SUM(18,38*35,16))))</f>
        <v>N/A</v>
      </c>
      <c r="BT35" s="215" t="str" cm="1">
        <f t="array" aca="1" ref="BT35" ca="1">IF($B35="","",IF(ISBLANK(INDIRECT("R9.Web!D"&amp;SUM(18,38*36,16))),"",INDIRECT("R9.Web!D"&amp;SUM(18,38*36,16))))</f>
        <v>Falla</v>
      </c>
      <c r="BU35" s="215" t="str" cm="1">
        <f t="array" aca="1" ref="BU35" ca="1">IF($B35="","",IF(ISBLANK(INDIRECT("R9.Web!D"&amp;SUM(18,38*37,16))),"",INDIRECT("R9.Web!D"&amp;SUM(18,38*37,16))))</f>
        <v>N/A</v>
      </c>
      <c r="BV35" s="215" t="str" cm="1">
        <f t="array" aca="1" ref="BV35" ca="1">IF($B35="","",IF(ISBLANK(INDIRECT("R9.Web!D"&amp;SUM(18,38*38,16))),"",INDIRECT("R9.Web!D"&amp;SUM(18,38*38,16))))</f>
        <v>Pasa</v>
      </c>
      <c r="BW35" s="215" t="str" cm="1">
        <f t="array" aca="1" ref="BW35" ca="1">IF($B35="","",IF(ISBLANK(INDIRECT("R9.Web!D"&amp;SUM(18,38*39,16))),"",INDIRECT("R9.Web!D"&amp;SUM(18,38*39,16))))</f>
        <v>N/A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Falla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Pasa</v>
      </c>
      <c r="CE35" s="215" t="str" cm="1">
        <f t="array" aca="1" ref="CE35" ca="1">IF($B35="","",IF(ISBLANK(INDIRECT("R9.Web!D"&amp;SUM(18,38*47,16))),"",INDIRECT("R9.Web!D"&amp;SUM(18,38*47,16))))</f>
        <v>Pasa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N/A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Pasa</v>
      </c>
      <c r="CO35" s="215" t="str" cm="1">
        <f t="array" aca="1" ref="CO35" ca="1">IF($B35="","",IF(ISBLANK(INDIRECT("R12.ServiciosApoyo!D"&amp;SUM(18,38*1,16))),"",INDIRECT("R12.ServiciosApoyo!D"&amp;SUM(18,38*1,16))))</f>
        <v>Falla</v>
      </c>
      <c r="CP35" s="215" t="str" cm="1">
        <f t="array" aca="1" ref="CP35" ca="1">IF($B35="","",IF(ISBLANK(INDIRECT("R12.ServiciosApoyo!D"&amp;SUM(18,38*2,16))),"",INDIRECT("R12.ServiciosApoyo!D"&amp;SUM(18,38*2,16))))</f>
        <v>Pasa</v>
      </c>
      <c r="CQ35" s="215" t="str" cm="1">
        <f t="array" aca="1" ref="CQ35" ca="1">IF($B35="","",IF(ISBLANK(INDIRECT("R12.ServiciosApoyo!D"&amp;SUM(18,38*3,16))),"",INDIRECT("R12.ServiciosApoyo!D"&amp;SUM(18,38*3,16))))</f>
        <v>Falla</v>
      </c>
      <c r="CR35" s="215" t="str" cm="1">
        <f t="array" aca="1" ref="CR35" ca="1">IF($B35="","",IF(ISBLANK(INDIRECT("R12.ServiciosApoyo!D"&amp;SUM(18,38*4,16))),"",INDIRECT("R12.ServiciosApoyo!D"&amp;SUM(18,38*4,16))))</f>
        <v>Falla</v>
      </c>
      <c r="CU35" s="100"/>
      <c r="CV35" s="29"/>
      <c r="CW35" s="29"/>
      <c r="CX35" s="29"/>
    </row>
    <row r="36" spans="2:102" ht="20.25">
      <c r="B36" s="181" t="str" cm="1">
        <f t="array" ref="B36">IFERROR(INDEX('03.Muestra'!$B$8:$B$42,SMALL(IF("Página Web"='03.Muestra'!$D$8:$D$42,ROW('03.Muestra'!$B$8:$B$42)-MIN(ROW('03.Muestra'!$D$8:$D$42))+1,""),ROW()-19)),"")</f>
        <v/>
      </c>
      <c r="C36" s="97" t="str" cm="1">
        <f t="array" ref="C36">IFERROR(INDEX('03.Muestra'!$C$8:$C$42,SMALL(IF("Página Web"='03.Muestra'!$D$8:$D$42,ROW('03.Muestra'!$C$8:$C$42)-MIN(ROW('03.Muestra'!$D$8:$D$42))+1,""),ROW()-19)),"")</f>
        <v/>
      </c>
      <c r="D36" s="98" t="str" cm="1">
        <f t="array" ref="D36">IFERROR(INDEX('03.Muestra'!$F$8:$F$42,SMALL(IF("Página Web"='03.Muestra'!$D$8:$D$42,ROW('03.Muestra'!$F$8:$F$42)-MIN(ROW('03.Muestra'!$D$8:$D$42))+1,""),ROW()-19)),"")</f>
        <v/>
      </c>
      <c r="E36" s="215" t="str" cm="1">
        <f t="array" aca="1" ref="E36" ca="1">IF($B36="","",IF(ISBLANK(INDIRECT("R5.Genéricos!D"&amp;SUM(18,38*0,17))),"",INDIRECT("R5.Genéricos!D"&amp;SUM(18,38*0,17))))</f>
        <v/>
      </c>
      <c r="F36" s="215" t="str" cm="1">
        <f t="array" aca="1" ref="F36" ca="1">IF($B36="","",IF(ISBLANK(INDIRECT("R5.Genéricos!D"&amp;SUM(18,38*1,17))),"",INDIRECT("R5.Genéricos!D"&amp;SUM(18,38*1,17))))</f>
        <v/>
      </c>
      <c r="G36" s="215" t="str" cm="1">
        <f t="array" aca="1" ref="G36" ca="1">IF($B36="","",IF(ISBLANK(INDIRECT("R5.Genéricos!D"&amp;SUM(18,38*2,17))),"",INDIRECT("R5.Genéricos!D"&amp;SUM(18,38*2,17))))</f>
        <v/>
      </c>
      <c r="H36" s="215" t="str" cm="1">
        <f t="array" aca="1" ref="H36" ca="1">IF($B36="","",IF(ISBLANK(INDIRECT("R6.Voz!D"&amp;SUM(18,38*0,17))),"",INDIRECT("R6.Voz!D"&amp;SUM(18,38*0,17))))</f>
        <v/>
      </c>
      <c r="I36" s="215" t="str" cm="1">
        <f t="array" aca="1" ref="I36" ca="1">IF($B36="","",IF(ISBLANK(INDIRECT("R6.Voz!D"&amp;SUM(18,38*1,17))),"",INDIRECT("R6.Voz!D"&amp;SUM(18,38*1,17))))</f>
        <v/>
      </c>
      <c r="J36" s="215" t="str" cm="1">
        <f t="array" aca="1" ref="J36" ca="1">IF($B36="","",IF(ISBLANK(INDIRECT("R6.Voz!D"&amp;SUM(18,38*2,17))),"",INDIRECT("R6.Voz!D"&amp;SUM(18,38*2,17))))</f>
        <v/>
      </c>
      <c r="K36" s="215" t="str" cm="1">
        <f t="array" aca="1" ref="K36" ca="1">IF($B36="","",IF(ISBLANK(INDIRECT("R6.Voz!D"&amp;SUM(18,38*3,17))),"",INDIRECT("R6.Voz!D"&amp;SUM(18,38*3,17))))</f>
        <v/>
      </c>
      <c r="L36" s="215" t="str" cm="1">
        <f t="array" aca="1" ref="L36" ca="1">IF($B36="","",IF(ISBLANK(INDIRECT("R6.Voz!D"&amp;SUM(18,38*4,17))),"",INDIRECT("R6.Voz!D"&amp;SUM(18,38*4,17))))</f>
        <v/>
      </c>
      <c r="M36" s="215" t="str" cm="1">
        <f t="array" aca="1" ref="M36" ca="1">IF($B36="","",IF(ISBLANK(INDIRECT("R6.Voz!D"&amp;SUM(18,38*5,17))),"",INDIRECT("R6.Voz!D"&amp;SUM(18,38*5,17))))</f>
        <v/>
      </c>
      <c r="N36" s="215" t="str" cm="1">
        <f t="array" aca="1" ref="N36" ca="1">IF($B36="","",IF(ISBLANK(INDIRECT("R6.Voz!D"&amp;SUM(18,38*6,17))),"",INDIRECT("R6.Voz!D"&amp;SUM(18,38*6,17))))</f>
        <v/>
      </c>
      <c r="O36" s="215" t="str" cm="1">
        <f t="array" aca="1" ref="O36" ca="1">IF($B36="","",IF(ISBLANK(INDIRECT("R6.Voz!D"&amp;SUM(18,38*7,17))),"",INDIRECT("R6.Voz!D"&amp;SUM(18,38*7,17))))</f>
        <v/>
      </c>
      <c r="P36" s="215" t="str" cm="1">
        <f t="array" aca="1" ref="P36" ca="1">IF($B36="","",IF(ISBLANK(INDIRECT("R6.Voz!D"&amp;SUM(18,38*8,17))),"",INDIRECT("R6.Voz!D"&amp;SUM(18,38*8,17))))</f>
        <v/>
      </c>
      <c r="Q36" s="215" t="str" cm="1">
        <f t="array" aca="1" ref="Q36" ca="1">IF($B36="","",IF(ISBLANK(INDIRECT("R6.Voz!D"&amp;SUM(18,38*9,17))),"",INDIRECT("R6.Voz!D"&amp;SUM(18,38*9,17))))</f>
        <v/>
      </c>
      <c r="R36" s="215" t="str" cm="1">
        <f t="array" aca="1" ref="R36" ca="1">IF($B36="","",IF(ISBLANK(INDIRECT("R6.Voz!D"&amp;SUM(18,38*10,17))),"",INDIRECT("R6.Voz!D"&amp;SUM(18,38*10,17))))</f>
        <v/>
      </c>
      <c r="S36" s="215" t="str" cm="1">
        <f t="array" aca="1" ref="S36" ca="1">IF($B36="","",IF(ISBLANK(INDIRECT("R6.Voz!D"&amp;SUM(18,38*11,17))),"",INDIRECT("R6.Voz!D"&amp;SUM(18,38*11,17))))</f>
        <v/>
      </c>
      <c r="T36" s="215" t="str" cm="1">
        <f t="array" aca="1" ref="T36" ca="1">IF($B36="","",IF(ISBLANK(INDIRECT("R6.Voz!D"&amp;SUM(18,38*12,17))),"",INDIRECT("R6.Voz!D"&amp;SUM(18,38*12,17))))</f>
        <v/>
      </c>
      <c r="U36" s="215" t="str" cm="1">
        <f t="array" aca="1" ref="U36" ca="1">IF($B36="","",IF(ISBLANK(INDIRECT("R6.Voz!D"&amp;SUM(18,38*13,17))),"",INDIRECT("R6.Voz!D"&amp;SUM(18,38*13,17))))</f>
        <v/>
      </c>
      <c r="V36" s="215" t="str" cm="1">
        <f t="array" aca="1" ref="V36" ca="1">IF($B36="","",IF(ISBLANK(INDIRECT("R6.Voz!D"&amp;SUM(18,38*14,17))),"",INDIRECT("R6.Voz!D"&amp;SUM(18,38*14,17))))</f>
        <v/>
      </c>
      <c r="W36" s="215" t="str" cm="1">
        <f t="array" aca="1" ref="W36" ca="1">IF($B36="","",IF(ISBLANK(INDIRECT("R6.Voz!D"&amp;SUM(18,38*15,17))),"",INDIRECT("R6.Voz!D"&amp;SUM(18,38*15,17))))</f>
        <v/>
      </c>
      <c r="X36" s="215" t="str" cm="1">
        <f t="array" aca="1" ref="X36" ca="1">IF($B36="","",IF(ISBLANK(INDIRECT("R6.Voz!D"&amp;SUM(18,38*16,17))),"",INDIRECT("R6.Voz!D"&amp;SUM(18,38*16,17))))</f>
        <v/>
      </c>
      <c r="Y36" s="215" t="str" cm="1">
        <f t="array" aca="1" ref="Y36" ca="1">IF($B36="","",IF(ISBLANK(INDIRECT("R6.Voz!D"&amp;SUM(18,38*17,17))),"",INDIRECT("R6.Voz!D"&amp;SUM(18,38*17,17))))</f>
        <v/>
      </c>
      <c r="Z36" s="215" t="str" cm="1">
        <f t="array" aca="1" ref="Z36" ca="1">IF($B36="","",IF(ISBLANK(INDIRECT("R6.Voz!D"&amp;SUM(18,38*18,17))),"",INDIRECT("R6.Voz!D"&amp;SUM(18,38*18,17))))</f>
        <v/>
      </c>
      <c r="AA36" s="215" t="str" cm="1">
        <f t="array" aca="1" ref="AA36" ca="1">IF($B36="","",IF(ISBLANK(INDIRECT("R7.Video!D"&amp;SUM(18,38*0,17))),"",INDIRECT("R7.Video!D"&amp;SUM(18,38*0,17))))</f>
        <v/>
      </c>
      <c r="AB36" s="215" t="str" cm="1">
        <f t="array" aca="1" ref="AB36" ca="1">IF($B36="","",IF(ISBLANK(INDIRECT("R7.Video!D"&amp;SUM(18,38*1,17))),"",INDIRECT("R7.Video!D"&amp;SUM(18,38*1,17))))</f>
        <v/>
      </c>
      <c r="AC36" s="215" t="str" cm="1">
        <f t="array" aca="1" ref="AC36" ca="1">IF($B36="","",IF(ISBLANK(INDIRECT("R7.Video!D"&amp;SUM(18,38*2,17))),"",INDIRECT("R7.Video!D"&amp;SUM(18,38*2,17))))</f>
        <v/>
      </c>
      <c r="AD36" s="215" t="str" cm="1">
        <f t="array" aca="1" ref="AD36" ca="1">IF($B36="","",IF(ISBLANK(INDIRECT("R7.Video!D"&amp;SUM(18,38*3,17))),"",INDIRECT("R7.Video!D"&amp;SUM(18,38*3,17))))</f>
        <v/>
      </c>
      <c r="AE36" s="215" t="str" cm="1">
        <f t="array" aca="1" ref="AE36" ca="1">IF($B36="","",IF(ISBLANK(INDIRECT("R7.Video!D"&amp;SUM(18,38*4,17))),"",INDIRECT("R7.Video!D"&amp;SUM(18,38*4,17))))</f>
        <v/>
      </c>
      <c r="AF36" s="215" t="str" cm="1">
        <f t="array" aca="1" ref="AF36" ca="1">IF($B36="","",IF(ISBLANK(INDIRECT("R7.Video!D"&amp;SUM(18,38*5,17))),"",INDIRECT("R7.Video!D"&amp;SUM(18,38*5,17))))</f>
        <v/>
      </c>
      <c r="AG36" s="215" t="str" cm="1">
        <f t="array" aca="1" ref="AG36" ca="1">IF($B36="","",IF(ISBLANK(INDIRECT("R7.Video!D"&amp;SUM(18,38*6,17))),"",INDIRECT("R7.Video!D"&amp;SUM(18,38*6,17))))</f>
        <v/>
      </c>
      <c r="AH36" s="215" t="str" cm="1">
        <f t="array" aca="1" ref="AH36" ca="1">IF($B36="","",IF(ISBLANK(INDIRECT("R7.Video!D"&amp;SUM(18,38*7,17))),"",INDIRECT("R7.Video!D"&amp;SUM(18,38*7,17))))</f>
        <v/>
      </c>
      <c r="AI36" s="215" t="str" cm="1">
        <f t="array" aca="1" ref="AI36" ca="1">IF($B36="","",IF(ISBLANK(INDIRECT("R7.Video!D"&amp;SUM(18,38*8,17))),"",INDIRECT("R7.Video!D"&amp;SUM(18,38*8,17))))</f>
        <v/>
      </c>
      <c r="AJ36" s="215" t="str" cm="1">
        <f t="array" aca="1" ref="AJ36" ca="1">IF($B36="","",IF(ISBLANK(INDIRECT("R9.Web!D"&amp;SUM(18,38*0,17))),"",INDIRECT("R9.Web!D"&amp;SUM(18,38*0,17))))</f>
        <v/>
      </c>
      <c r="AK36" s="215" t="str" cm="1">
        <f t="array" aca="1" ref="AK36" ca="1">IF($B36="","",IF(ISBLANK(INDIRECT("R9.Web!D"&amp;SUM(18,38*1,17))),"",INDIRECT("R9.Web!D"&amp;SUM(18,38*1,17))))</f>
        <v/>
      </c>
      <c r="AL36" s="215" t="str" cm="1">
        <f t="array" aca="1" ref="AL36" ca="1">IF($B36="","",IF(ISBLANK(INDIRECT("R9.Web!D"&amp;SUM(18,38*2,17))),"",INDIRECT("R9.Web!D"&amp;SUM(18,38*2,17))))</f>
        <v/>
      </c>
      <c r="AM36" s="215" t="str" cm="1">
        <f t="array" aca="1" ref="AM36" ca="1">IF($B36="","",IF(ISBLANK(INDIRECT("R9.Web!D"&amp;SUM(18,38*3,17))),"",INDIRECT("R9.Web!D"&amp;SUM(18,38*3,17))))</f>
        <v/>
      </c>
      <c r="AN36" s="215" t="str" cm="1">
        <f t="array" aca="1" ref="AN36" ca="1">IF($B36="","",IF(ISBLANK(INDIRECT("R9.Web!D"&amp;SUM(18,38*4,17))),"",INDIRECT("R9.Web!D"&amp;SUM(18,38*4,17))))</f>
        <v/>
      </c>
      <c r="AO36" s="215" t="str" cm="1">
        <f t="array" aca="1" ref="AO36" ca="1">IF($B36="","",IF(ISBLANK(INDIRECT("R9.Web!D"&amp;SUM(18,38*5,17))),"",INDIRECT("R9.Web!D"&amp;SUM(18,38*5,17))))</f>
        <v/>
      </c>
      <c r="AP36" s="215" t="str" cm="1">
        <f t="array" aca="1" ref="AP36" ca="1">IF($B36="","",IF(ISBLANK(INDIRECT("R9.Web!D"&amp;SUM(18,38*6,17))),"",INDIRECT("R9.Web!D"&amp;SUM(18,38*6,17))))</f>
        <v/>
      </c>
      <c r="AQ36" s="215" t="str" cm="1">
        <f t="array" aca="1" ref="AQ36" ca="1">IF($B36="","",IF(ISBLANK(INDIRECT("R9.Web!D"&amp;SUM(18,38*7,17))),"",INDIRECT("R9.Web!D"&amp;SUM(18,38*7,17))))</f>
        <v/>
      </c>
      <c r="AR36" s="215" t="str" cm="1">
        <f t="array" aca="1" ref="AR36" ca="1">IF($B36="","",IF(ISBLANK(INDIRECT("R9.Web!D"&amp;SUM(18,38*8,17))),"",INDIRECT("R9.Web!D"&amp;SUM(18,38*8,17))))</f>
        <v/>
      </c>
      <c r="AS36" s="215" t="str" cm="1">
        <f t="array" aca="1" ref="AS36" ca="1">IF($B36="","",IF(ISBLANK(INDIRECT("R9.Web!D"&amp;SUM(18,38*9,17))),"",INDIRECT("R9.Web!D"&amp;SUM(18,38*9,17))))</f>
        <v/>
      </c>
      <c r="AT36" s="215" t="str" cm="1">
        <f t="array" aca="1" ref="AT36" ca="1">IF($B36="","",IF(ISBLANK(INDIRECT("R9.Web!D"&amp;SUM(18,38*10,17))),"",INDIRECT("R9.Web!D"&amp;SUM(18,38*10,17))))</f>
        <v/>
      </c>
      <c r="AU36" s="215" t="str" cm="1">
        <f t="array" aca="1" ref="AU36" ca="1">IF($B36="","",IF(ISBLANK(INDIRECT("R9.Web!D"&amp;SUM(18,38*11,17))),"",INDIRECT("R9.Web!D"&amp;SUM(18,38*11,17))))</f>
        <v/>
      </c>
      <c r="AV36" s="215" t="str" cm="1">
        <f t="array" aca="1" ref="AV36" ca="1">IF($B36="","",IF(ISBLANK(INDIRECT("R9.Web!D"&amp;SUM(18,38*12,17))),"",INDIRECT("R9.Web!D"&amp;SUM(18,38*12,17))))</f>
        <v/>
      </c>
      <c r="AW36" s="215" t="str" cm="1">
        <f t="array" aca="1" ref="AW36" ca="1">IF($B36="","",IF(ISBLANK(INDIRECT("R9.Web!D"&amp;SUM(18,38*13,17))),"",INDIRECT("R9.Web!D"&amp;SUM(18,38*13,17))))</f>
        <v/>
      </c>
      <c r="AX36" s="215" t="str" cm="1">
        <f t="array" aca="1" ref="AX36" ca="1">IF($B36="","",IF(ISBLANK(INDIRECT("R9.Web!D"&amp;SUM(18,38*14,17))),"",INDIRECT("R9.Web!D"&amp;SUM(18,38*14,17))))</f>
        <v/>
      </c>
      <c r="AY36" s="215" t="str" cm="1">
        <f t="array" aca="1" ref="AY36" ca="1">IF($B36="","",IF(ISBLANK(INDIRECT("R9.Web!D"&amp;SUM(18,38*15,17))),"",INDIRECT("R9.Web!D"&amp;SUM(18,38*15,17))))</f>
        <v/>
      </c>
      <c r="AZ36" s="215" t="str" cm="1">
        <f t="array" aca="1" ref="AZ36" ca="1">IF($B36="","",IF(ISBLANK(INDIRECT("R9.Web!D"&amp;SUM(18,38*16,17))),"",INDIRECT("R9.Web!D"&amp;SUM(18,38*16,17))))</f>
        <v/>
      </c>
      <c r="BA36" s="215" t="str" cm="1">
        <f t="array" aca="1" ref="BA36" ca="1">IF($B36="","",IF(ISBLANK(INDIRECT("R9.Web!D"&amp;SUM(18,38*17,17))),"",INDIRECT("R9.Web!D"&amp;SUM(18,38*17,17))))</f>
        <v/>
      </c>
      <c r="BB36" s="215" t="str" cm="1">
        <f t="array" aca="1" ref="BB36" ca="1">IF($B36="","",IF(ISBLANK(INDIRECT("R9.Web!D"&amp;SUM(18,38*18,17))),"",INDIRECT("R9.Web!D"&amp;SUM(18,38*18,17))))</f>
        <v/>
      </c>
      <c r="BC36" s="215" t="str" cm="1">
        <f t="array" aca="1" ref="BC36" ca="1">IF($B36="","",IF(ISBLANK(INDIRECT("R9.Web!D"&amp;SUM(18,38*19,17))),"",INDIRECT("R9.Web!D"&amp;SUM(18,38*19,17))))</f>
        <v/>
      </c>
      <c r="BD36" s="215" t="str" cm="1">
        <f t="array" aca="1" ref="BD36" ca="1">IF($B36="","",IF(ISBLANK(INDIRECT("R9.Web!D"&amp;SUM(18,38*20,17))),"",INDIRECT("R9.Web!D"&amp;SUM(18,38*20,17))))</f>
        <v/>
      </c>
      <c r="BE36" s="215" t="str" cm="1">
        <f t="array" aca="1" ref="BE36" ca="1">IF($B36="","",IF(ISBLANK(INDIRECT("R9.Web!D"&amp;SUM(18,38*21,17))),"",INDIRECT("R9.Web!D"&amp;SUM(18,38*21,17))))</f>
        <v/>
      </c>
      <c r="BF36" s="215" t="str" cm="1">
        <f t="array" aca="1" ref="BF36" ca="1">IF($B36="","",IF(ISBLANK(INDIRECT("R9.Web!D"&amp;SUM(18,38*22,17))),"",INDIRECT("R9.Web!D"&amp;SUM(18,38*22,17))))</f>
        <v/>
      </c>
      <c r="BG36" s="215" t="str" cm="1">
        <f t="array" aca="1" ref="BG36" ca="1">IF($B36="","",IF(ISBLANK(INDIRECT("R9.Web!D"&amp;SUM(18,38*23,17))),"",INDIRECT("R9.Web!D"&amp;SUM(18,38*23,17))))</f>
        <v/>
      </c>
      <c r="BH36" s="215" t="str" cm="1">
        <f t="array" aca="1" ref="BH36" ca="1">IF($B36="","",IF(ISBLANK(INDIRECT("R9.Web!D"&amp;SUM(18,38*24,17))),"",INDIRECT("R9.Web!D"&amp;SUM(18,38*24,17))))</f>
        <v/>
      </c>
      <c r="BI36" s="215" t="str" cm="1">
        <f t="array" aca="1" ref="BI36" ca="1">IF($B36="","",IF(ISBLANK(INDIRECT("R9.Web!D"&amp;SUM(18,38*25,17))),"",INDIRECT("R9.Web!D"&amp;SUM(18,38*25,17))))</f>
        <v/>
      </c>
      <c r="BJ36" s="215" t="str" cm="1">
        <f t="array" aca="1" ref="BJ36" ca="1">IF($B36="","",IF(ISBLANK(INDIRECT("R9.Web!D"&amp;SUM(18,38*26,17))),"",INDIRECT("R9.Web!D"&amp;SUM(18,38*26,17))))</f>
        <v/>
      </c>
      <c r="BK36" s="215" t="str" cm="1">
        <f t="array" aca="1" ref="BK36" ca="1">IF($B36="","",IF(ISBLANK(INDIRECT("R9.Web!D"&amp;SUM(18,38*27,17))),"",INDIRECT("R9.Web!D"&amp;SUM(18,38*27,17))))</f>
        <v/>
      </c>
      <c r="BL36" s="215" t="str" cm="1">
        <f t="array" aca="1" ref="BL36" ca="1">IF($B36="","",IF(ISBLANK(INDIRECT("R9.Web!D"&amp;SUM(18,38*28,17))),"",INDIRECT("R9.Web!D"&amp;SUM(18,38*28,17))))</f>
        <v/>
      </c>
      <c r="BM36" s="215" t="str" cm="1">
        <f t="array" aca="1" ref="BM36" ca="1">IF($B36="","",IF(ISBLANK(INDIRECT("R9.Web!D"&amp;SUM(18,38*29,17))),"",INDIRECT("R9.Web!D"&amp;SUM(18,38*29,17))))</f>
        <v/>
      </c>
      <c r="BN36" s="215" t="str" cm="1">
        <f t="array" aca="1" ref="BN36" ca="1">IF($B36="","",IF(ISBLANK(INDIRECT("R9.Web!D"&amp;SUM(18,38*30,17))),"",INDIRECT("R9.Web!D"&amp;SUM(18,38*30,17))))</f>
        <v/>
      </c>
      <c r="BO36" s="215" t="str" cm="1">
        <f t="array" aca="1" ref="BO36" ca="1">IF($B36="","",IF(ISBLANK(INDIRECT("R9.Web!D"&amp;SUM(18,38*31,17))),"",INDIRECT("R9.Web!D"&amp;SUM(18,38*31,17))))</f>
        <v/>
      </c>
      <c r="BP36" s="215" t="str" cm="1">
        <f t="array" aca="1" ref="BP36" ca="1">IF($B36="","",IF(ISBLANK(INDIRECT("R9.Web!D"&amp;SUM(18,38*32,17))),"",INDIRECT("R9.Web!D"&amp;SUM(18,38*32,17))))</f>
        <v/>
      </c>
      <c r="BQ36" s="215" t="str" cm="1">
        <f t="array" aca="1" ref="BQ36" ca="1">IF($B36="","",IF(ISBLANK(INDIRECT("R9.Web!D"&amp;SUM(18,38*33,17))),"",INDIRECT("R9.Web!D"&amp;SUM(18,38*33,17))))</f>
        <v/>
      </c>
      <c r="BR36" s="215" t="str" cm="1">
        <f t="array" aca="1" ref="BR36" ca="1">IF($B36="","",IF(ISBLANK(INDIRECT("R9.Web!D"&amp;SUM(18,38*34,17))),"",INDIRECT("R9.Web!D"&amp;SUM(18,38*34,17))))</f>
        <v/>
      </c>
      <c r="BS36" s="215" t="str" cm="1">
        <f t="array" aca="1" ref="BS36" ca="1">IF($B36="","",IF(ISBLANK(INDIRECT("R9.Web!D"&amp;SUM(18,38*35,17))),"",INDIRECT("R9.Web!D"&amp;SUM(18,38*35,17))))</f>
        <v/>
      </c>
      <c r="BT36" s="215" t="str" cm="1">
        <f t="array" aca="1" ref="BT36" ca="1">IF($B36="","",IF(ISBLANK(INDIRECT("R9.Web!D"&amp;SUM(18,38*36,17))),"",INDIRECT("R9.Web!D"&amp;SUM(18,38*36,17))))</f>
        <v/>
      </c>
      <c r="BU36" s="215" t="str" cm="1">
        <f t="array" aca="1" ref="BU36" ca="1">IF($B36="","",IF(ISBLANK(INDIRECT("R9.Web!D"&amp;SUM(18,38*37,17))),"",INDIRECT("R9.Web!D"&amp;SUM(18,38*37,17))))</f>
        <v/>
      </c>
      <c r="BV36" s="215" t="str" cm="1">
        <f t="array" aca="1" ref="BV36" ca="1">IF($B36="","",IF(ISBLANK(INDIRECT("R9.Web!D"&amp;SUM(18,38*38,17))),"",INDIRECT("R9.Web!D"&amp;SUM(18,38*38,17))))</f>
        <v/>
      </c>
      <c r="BW36" s="215" t="str" cm="1">
        <f t="array" aca="1" ref="BW36" ca="1">IF($B36="","",IF(ISBLANK(INDIRECT("R9.Web!D"&amp;SUM(18,38*39,17))),"",INDIRECT("R9.Web!D"&amp;SUM(18,38*39,17))))</f>
        <v/>
      </c>
      <c r="BX36" s="215" t="str" cm="1">
        <f t="array" aca="1" ref="BX36" ca="1">IF($B36="","",IF(ISBLANK(INDIRECT("R9.Web!D"&amp;SUM(18,38*40,17))),"",INDIRECT("R9.Web!D"&amp;SUM(18,38*40,17))))</f>
        <v/>
      </c>
      <c r="BY36" s="215" t="str" cm="1">
        <f t="array" aca="1" ref="BY36" ca="1">IF($B36="","",IF(ISBLANK(INDIRECT("R9.Web!D"&amp;SUM(18,38*41,17))),"",INDIRECT("R9.Web!D"&amp;SUM(18,38*41,17))))</f>
        <v/>
      </c>
      <c r="BZ36" s="215" t="str" cm="1">
        <f t="array" aca="1" ref="BZ36" ca="1">IF($B36="","",IF(ISBLANK(INDIRECT("R9.Web!D"&amp;SUM(18,38*42,17))),"",INDIRECT("R9.Web!D"&amp;SUM(18,38*42,17))))</f>
        <v/>
      </c>
      <c r="CA36" s="215" t="str" cm="1">
        <f t="array" aca="1" ref="CA36" ca="1">IF($B36="","",IF(ISBLANK(INDIRECT("R9.Web!D"&amp;SUM(18,38*43,17))),"",INDIRECT("R9.Web!D"&amp;SUM(18,38*43,17))))</f>
        <v/>
      </c>
      <c r="CB36" s="215" t="str" cm="1">
        <f t="array" aca="1" ref="CB36" ca="1">IF($B36="","",IF(ISBLANK(INDIRECT("R9.Web!D"&amp;SUM(18,38*44,17))),"",INDIRECT("R9.Web!D"&amp;SUM(18,38*44,17))))</f>
        <v/>
      </c>
      <c r="CC36" s="215" t="str" cm="1">
        <f t="array" aca="1" ref="CC36" ca="1">IF($B36="","",IF(ISBLANK(INDIRECT("R9.Web!D"&amp;SUM(18,38*45,17))),"",INDIRECT("R9.Web!D"&amp;SUM(18,38*45,17))))</f>
        <v/>
      </c>
      <c r="CD36" s="215" t="str" cm="1">
        <f t="array" aca="1" ref="CD36" ca="1">IF($B36="","",IF(ISBLANK(INDIRECT("R9.Web!D"&amp;SUM(18,38*46,17))),"",INDIRECT("R9.Web!D"&amp;SUM(18,38*46,17))))</f>
        <v/>
      </c>
      <c r="CE36" s="215" t="str" cm="1">
        <f t="array" aca="1" ref="CE36" ca="1">IF($B36="","",IF(ISBLANK(INDIRECT("R9.Web!D"&amp;SUM(18,38*47,17))),"",INDIRECT("R9.Web!D"&amp;SUM(18,38*47,17))))</f>
        <v/>
      </c>
      <c r="CF36" s="215" t="str" cm="1">
        <f t="array" aca="1" ref="CF36" ca="1">IF($B36="","",IF(ISBLANK(INDIRECT("R9.Web!D"&amp;SUM(18,38*48,17))),"",INDIRECT("R9.Web!D"&amp;SUM(18,38*48,17))))</f>
        <v/>
      </c>
      <c r="CG36" s="215" t="str" cm="1">
        <f t="array" aca="1" ref="CG36" ca="1">IF($B36="","",IF(ISBLANK(INDIRECT("R9.Web!D"&amp;SUM(18,38*49,17))),"",INDIRECT("R9.Web!D"&amp;SUM(18,38*49,17))))</f>
        <v/>
      </c>
      <c r="CH36" s="215" t="str" cm="1">
        <f t="array" aca="1" ref="CH36" ca="1">IF($B36="","",IF(ISBLANK(INDIRECT("R11.Software!D"&amp;SUM(18,38*0,17))),"",INDIRECT("R11.Software!D"&amp;SUM(18,38*0,17))))</f>
        <v/>
      </c>
      <c r="CI36" s="215" t="str" cm="1">
        <f t="array" aca="1" ref="CI36" ca="1">IF($B36="","",IF(ISBLANK(INDIRECT("R11.Software!D"&amp;SUM(18,38*1,17))),"",INDIRECT("R11.Software!D"&amp;SUM(18,38*1,17))))</f>
        <v/>
      </c>
      <c r="CJ36" s="215" t="str" cm="1">
        <f t="array" aca="1" ref="CJ36" ca="1">IF($B36="","",IF(ISBLANK(INDIRECT("R11.Software!D"&amp;SUM(18,38*2,17))),"",INDIRECT("R11.Software!D"&amp;SUM(18,38*2,17))))</f>
        <v/>
      </c>
      <c r="CK36" s="215" t="str" cm="1">
        <f t="array" aca="1" ref="CK36" ca="1">IF($B36="","",IF(ISBLANK(INDIRECT("R11.Software!D"&amp;SUM(18,38*3,17))),"",INDIRECT("R11.Software!D"&amp;SUM(18,38*3,17))))</f>
        <v/>
      </c>
      <c r="CL36" s="215" t="str" cm="1">
        <f t="array" aca="1" ref="CL36" ca="1">IF($B36="","",IF(ISBLANK(INDIRECT("R11.Software!D"&amp;SUM(18,38*4,17))),"",INDIRECT("R11.Software!D"&amp;SUM(18,38*4,17))))</f>
        <v/>
      </c>
      <c r="CM36" s="215" t="str" cm="1">
        <f t="array" aca="1" ref="CM36" ca="1">IF($B36="","",IF(ISBLANK(INDIRECT("R11.Software!D"&amp;SUM(18,38*5,17))),"",INDIRECT("R11.Software!D"&amp;SUM(18,38*5,17))))</f>
        <v/>
      </c>
      <c r="CN36" s="215" t="str" cm="1">
        <f t="array" aca="1" ref="CN36" ca="1">IF($B36="","",IF(ISBLANK(INDIRECT("R12.ServiciosApoyo!D"&amp;SUM(18,38*0,17))),"",INDIRECT("R12.ServiciosApoyo!D"&amp;SUM(18,38*0,17))))</f>
        <v/>
      </c>
      <c r="CO36" s="215" t="str" cm="1">
        <f t="array" aca="1" ref="CO36" ca="1">IF($B36="","",IF(ISBLANK(INDIRECT("R12.ServiciosApoyo!D"&amp;SUM(18,38*1,17))),"",INDIRECT("R12.ServiciosApoyo!D"&amp;SUM(18,38*1,17))))</f>
        <v/>
      </c>
      <c r="CP36" s="215" t="str" cm="1">
        <f t="array" aca="1" ref="CP36" ca="1">IF($B36="","",IF(ISBLANK(INDIRECT("R12.ServiciosApoyo!D"&amp;SUM(18,38*2,17))),"",INDIRECT("R12.ServiciosApoyo!D"&amp;SUM(18,38*2,17))))</f>
        <v/>
      </c>
      <c r="CQ36" s="215" t="str" cm="1">
        <f t="array" aca="1" ref="CQ36" ca="1">IF($B36="","",IF(ISBLANK(INDIRECT("R12.ServiciosApoyo!D"&amp;SUM(18,38*3,17))),"",INDIRECT("R12.ServiciosApoyo!D"&amp;SUM(18,38*3,17))))</f>
        <v/>
      </c>
      <c r="CR36" s="215" t="str" cm="1">
        <f t="array" aca="1" ref="CR36" ca="1">IF($B36="","",IF(ISBLANK(INDIRECT("R12.ServiciosApoyo!D"&amp;SUM(18,38*4,17))),"",INDIRECT("R12.ServiciosApoyo!D"&amp;SUM(18,38*4,17))))</f>
        <v/>
      </c>
      <c r="CU36" s="100"/>
      <c r="CV36" s="29"/>
      <c r="CW36" s="29"/>
      <c r="CX36" s="29"/>
    </row>
    <row r="37" spans="2:102" ht="20.25">
      <c r="B37" s="181" t="str" cm="1">
        <f t="array" ref="B37">IFERROR(INDEX('03.Muestra'!$B$8:$B$42,SMALL(IF("Página Web"='03.Muestra'!$D$8:$D$42,ROW('03.Muestra'!$B$8:$B$42)-MIN(ROW('03.Muestra'!$D$8:$D$42))+1,""),ROW()-19)),"")</f>
        <v/>
      </c>
      <c r="C37" s="97" t="str" cm="1">
        <f t="array" ref="C37">IFERROR(INDEX('03.Muestra'!$C$8:$C$42,SMALL(IF("Página Web"='03.Muestra'!$D$8:$D$42,ROW('03.Muestra'!$C$8:$C$42)-MIN(ROW('03.Muestra'!$D$8:$D$42))+1,""),ROW()-19)),"")</f>
        <v/>
      </c>
      <c r="D37" s="98" t="str" cm="1">
        <f t="array" ref="D37">IFERROR(INDEX('03.Muestra'!$F$8:$F$42,SMALL(IF("Página Web"='03.Muestra'!$D$8:$D$42,ROW('03.Muestra'!$F$8:$F$42)-MIN(ROW('03.Muestra'!$D$8:$D$42))+1,""),ROW()-19)),"")</f>
        <v/>
      </c>
      <c r="E37" s="215" t="str" cm="1">
        <f t="array" aca="1" ref="E37" ca="1">IF($B37="","",IF(ISBLANK(INDIRECT("R5.Genéricos!D"&amp;SUM(18,38*0,18))),"",INDIRECT("R5.Genéricos!D"&amp;SUM(18,38*0,18))))</f>
        <v/>
      </c>
      <c r="F37" s="215" t="str" cm="1">
        <f t="array" aca="1" ref="F37" ca="1">IF($B37="","",IF(ISBLANK(INDIRECT("R5.Genéricos!D"&amp;SUM(18,38*1,18))),"",INDIRECT("R5.Genéricos!D"&amp;SUM(18,38*1,18))))</f>
        <v/>
      </c>
      <c r="G37" s="215" t="str" cm="1">
        <f t="array" aca="1" ref="G37" ca="1">IF($B37="","",IF(ISBLANK(INDIRECT("R5.Genéricos!D"&amp;SUM(18,38*2,18))),"",INDIRECT("R5.Genéricos!D"&amp;SUM(18,38*2,18))))</f>
        <v/>
      </c>
      <c r="H37" s="215" t="str" cm="1">
        <f t="array" aca="1" ref="H37" ca="1">IF($B37="","",IF(ISBLANK(INDIRECT("R6.Voz!D"&amp;SUM(18,38*0,18))),"",INDIRECT("R6.Voz!D"&amp;SUM(18,38*0,18))))</f>
        <v/>
      </c>
      <c r="I37" s="215" t="str" cm="1">
        <f t="array" aca="1" ref="I37" ca="1">IF($B37="","",IF(ISBLANK(INDIRECT("R6.Voz!D"&amp;SUM(18,38*1,18))),"",INDIRECT("R6.Voz!D"&amp;SUM(18,38*1,18))))</f>
        <v/>
      </c>
      <c r="J37" s="215" t="str" cm="1">
        <f t="array" aca="1" ref="J37" ca="1">IF($B37="","",IF(ISBLANK(INDIRECT("R6.Voz!D"&amp;SUM(18,38*2,18))),"",INDIRECT("R6.Voz!D"&amp;SUM(18,38*2,18))))</f>
        <v/>
      </c>
      <c r="K37" s="215" t="str" cm="1">
        <f t="array" aca="1" ref="K37" ca="1">IF($B37="","",IF(ISBLANK(INDIRECT("R6.Voz!D"&amp;SUM(18,38*3,18))),"",INDIRECT("R6.Voz!D"&amp;SUM(18,38*3,18))))</f>
        <v/>
      </c>
      <c r="L37" s="215" t="str" cm="1">
        <f t="array" aca="1" ref="L37" ca="1">IF($B37="","",IF(ISBLANK(INDIRECT("R6.Voz!D"&amp;SUM(18,38*4,18))),"",INDIRECT("R6.Voz!D"&amp;SUM(18,38*4,18))))</f>
        <v/>
      </c>
      <c r="M37" s="215" t="str" cm="1">
        <f t="array" aca="1" ref="M37" ca="1">IF($B37="","",IF(ISBLANK(INDIRECT("R6.Voz!D"&amp;SUM(18,38*5,18))),"",INDIRECT("R6.Voz!D"&amp;SUM(18,38*5,18))))</f>
        <v/>
      </c>
      <c r="N37" s="215" t="str" cm="1">
        <f t="array" aca="1" ref="N37" ca="1">IF($B37="","",IF(ISBLANK(INDIRECT("R6.Voz!D"&amp;SUM(18,38*6,18))),"",INDIRECT("R6.Voz!D"&amp;SUM(18,38*6,18))))</f>
        <v/>
      </c>
      <c r="O37" s="215" t="str" cm="1">
        <f t="array" aca="1" ref="O37" ca="1">IF($B37="","",IF(ISBLANK(INDIRECT("R6.Voz!D"&amp;SUM(18,38*7,18))),"",INDIRECT("R6.Voz!D"&amp;SUM(18,38*7,18))))</f>
        <v/>
      </c>
      <c r="P37" s="215" t="str" cm="1">
        <f t="array" aca="1" ref="P37" ca="1">IF($B37="","",IF(ISBLANK(INDIRECT("R6.Voz!D"&amp;SUM(18,38*8,18))),"",INDIRECT("R6.Voz!D"&amp;SUM(18,38*8,18))))</f>
        <v/>
      </c>
      <c r="Q37" s="215" t="str" cm="1">
        <f t="array" aca="1" ref="Q37" ca="1">IF($B37="","",IF(ISBLANK(INDIRECT("R6.Voz!D"&amp;SUM(18,38*9,18))),"",INDIRECT("R6.Voz!D"&amp;SUM(18,38*9,18))))</f>
        <v/>
      </c>
      <c r="R37" s="215" t="str" cm="1">
        <f t="array" aca="1" ref="R37" ca="1">IF($B37="","",IF(ISBLANK(INDIRECT("R6.Voz!D"&amp;SUM(18,38*10,18))),"",INDIRECT("R6.Voz!D"&amp;SUM(18,38*10,18))))</f>
        <v/>
      </c>
      <c r="S37" s="215" t="str" cm="1">
        <f t="array" aca="1" ref="S37" ca="1">IF($B37="","",IF(ISBLANK(INDIRECT("R6.Voz!D"&amp;SUM(18,38*11,18))),"",INDIRECT("R6.Voz!D"&amp;SUM(18,38*11,18))))</f>
        <v/>
      </c>
      <c r="T37" s="215" t="str" cm="1">
        <f t="array" aca="1" ref="T37" ca="1">IF($B37="","",IF(ISBLANK(INDIRECT("R6.Voz!D"&amp;SUM(18,38*12,18))),"",INDIRECT("R6.Voz!D"&amp;SUM(18,38*12,18))))</f>
        <v/>
      </c>
      <c r="U37" s="215" t="str" cm="1">
        <f t="array" aca="1" ref="U37" ca="1">IF($B37="","",IF(ISBLANK(INDIRECT("R6.Voz!D"&amp;SUM(18,38*13,18))),"",INDIRECT("R6.Voz!D"&amp;SUM(18,38*13,18))))</f>
        <v/>
      </c>
      <c r="V37" s="215" t="str" cm="1">
        <f t="array" aca="1" ref="V37" ca="1">IF($B37="","",IF(ISBLANK(INDIRECT("R6.Voz!D"&amp;SUM(18,38*14,18))),"",INDIRECT("R6.Voz!D"&amp;SUM(18,38*14,18))))</f>
        <v/>
      </c>
      <c r="W37" s="215" t="str" cm="1">
        <f t="array" aca="1" ref="W37" ca="1">IF($B37="","",IF(ISBLANK(INDIRECT("R6.Voz!D"&amp;SUM(18,38*15,18))),"",INDIRECT("R6.Voz!D"&amp;SUM(18,38*15,18))))</f>
        <v/>
      </c>
      <c r="X37" s="215" t="str" cm="1">
        <f t="array" aca="1" ref="X37" ca="1">IF($B37="","",IF(ISBLANK(INDIRECT("R6.Voz!D"&amp;SUM(18,38*16,18))),"",INDIRECT("R6.Voz!D"&amp;SUM(18,38*16,18))))</f>
        <v/>
      </c>
      <c r="Y37" s="215" t="str" cm="1">
        <f t="array" aca="1" ref="Y37" ca="1">IF($B37="","",IF(ISBLANK(INDIRECT("R6.Voz!D"&amp;SUM(18,38*17,18))),"",INDIRECT("R6.Voz!D"&amp;SUM(18,38*17,18))))</f>
        <v/>
      </c>
      <c r="Z37" s="215" t="str" cm="1">
        <f t="array" aca="1" ref="Z37" ca="1">IF($B37="","",IF(ISBLANK(INDIRECT("R6.Voz!D"&amp;SUM(18,38*18,18))),"",INDIRECT("R6.Voz!D"&amp;SUM(18,38*18,18))))</f>
        <v/>
      </c>
      <c r="AA37" s="215" t="str" cm="1">
        <f t="array" aca="1" ref="AA37" ca="1">IF($B37="","",IF(ISBLANK(INDIRECT("R7.Video!D"&amp;SUM(18,38*0,18))),"",INDIRECT("R7.Video!D"&amp;SUM(18,38*0,18))))</f>
        <v/>
      </c>
      <c r="AB37" s="215" t="str" cm="1">
        <f t="array" aca="1" ref="AB37" ca="1">IF($B37="","",IF(ISBLANK(INDIRECT("R7.Video!D"&amp;SUM(18,38*1,18))),"",INDIRECT("R7.Video!D"&amp;SUM(18,38*1,18))))</f>
        <v/>
      </c>
      <c r="AC37" s="215" t="str" cm="1">
        <f t="array" aca="1" ref="AC37" ca="1">IF($B37="","",IF(ISBLANK(INDIRECT("R7.Video!D"&amp;SUM(18,38*2,18))),"",INDIRECT("R7.Video!D"&amp;SUM(18,38*2,18))))</f>
        <v/>
      </c>
      <c r="AD37" s="215" t="str" cm="1">
        <f t="array" aca="1" ref="AD37" ca="1">IF($B37="","",IF(ISBLANK(INDIRECT("R7.Video!D"&amp;SUM(18,38*3,18))),"",INDIRECT("R7.Video!D"&amp;SUM(18,38*3,18))))</f>
        <v/>
      </c>
      <c r="AE37" s="215" t="str" cm="1">
        <f t="array" aca="1" ref="AE37" ca="1">IF($B37="","",IF(ISBLANK(INDIRECT("R7.Video!D"&amp;SUM(18,38*4,18))),"",INDIRECT("R7.Video!D"&amp;SUM(18,38*4,18))))</f>
        <v/>
      </c>
      <c r="AF37" s="215" t="str" cm="1">
        <f t="array" aca="1" ref="AF37" ca="1">IF($B37="","",IF(ISBLANK(INDIRECT("R7.Video!D"&amp;SUM(18,38*5,18))),"",INDIRECT("R7.Video!D"&amp;SUM(18,38*5,18))))</f>
        <v/>
      </c>
      <c r="AG37" s="215" t="str" cm="1">
        <f t="array" aca="1" ref="AG37" ca="1">IF($B37="","",IF(ISBLANK(INDIRECT("R7.Video!D"&amp;SUM(18,38*6,18))),"",INDIRECT("R7.Video!D"&amp;SUM(18,38*6,18))))</f>
        <v/>
      </c>
      <c r="AH37" s="215" t="str" cm="1">
        <f t="array" aca="1" ref="AH37" ca="1">IF($B37="","",IF(ISBLANK(INDIRECT("R7.Video!D"&amp;SUM(18,38*7,18))),"",INDIRECT("R7.Video!D"&amp;SUM(18,38*7,18))))</f>
        <v/>
      </c>
      <c r="AI37" s="215" t="str" cm="1">
        <f t="array" aca="1" ref="AI37" ca="1">IF($B37="","",IF(ISBLANK(INDIRECT("R7.Video!D"&amp;SUM(18,38*8,18))),"",INDIRECT("R7.Video!D"&amp;SUM(18,38*8,18))))</f>
        <v/>
      </c>
      <c r="AJ37" s="215" t="str" cm="1">
        <f t="array" aca="1" ref="AJ37" ca="1">IF($B37="","",IF(ISBLANK(INDIRECT("R9.Web!D"&amp;SUM(18,38*0,18))),"",INDIRECT("R9.Web!D"&amp;SUM(18,38*0,18))))</f>
        <v/>
      </c>
      <c r="AK37" s="215" t="str" cm="1">
        <f t="array" aca="1" ref="AK37" ca="1">IF($B37="","",IF(ISBLANK(INDIRECT("R9.Web!D"&amp;SUM(18,38*1,18))),"",INDIRECT("R9.Web!D"&amp;SUM(18,38*1,18))))</f>
        <v/>
      </c>
      <c r="AL37" s="215" t="str" cm="1">
        <f t="array" aca="1" ref="AL37" ca="1">IF($B37="","",IF(ISBLANK(INDIRECT("R9.Web!D"&amp;SUM(18,38*2,18))),"",INDIRECT("R9.Web!D"&amp;SUM(18,38*2,18))))</f>
        <v/>
      </c>
      <c r="AM37" s="215" t="str" cm="1">
        <f t="array" aca="1" ref="AM37" ca="1">IF($B37="","",IF(ISBLANK(INDIRECT("R9.Web!D"&amp;SUM(18,38*3,18))),"",INDIRECT("R9.Web!D"&amp;SUM(18,38*3,18))))</f>
        <v/>
      </c>
      <c r="AN37" s="215" t="str" cm="1">
        <f t="array" aca="1" ref="AN37" ca="1">IF($B37="","",IF(ISBLANK(INDIRECT("R9.Web!D"&amp;SUM(18,38*4,18))),"",INDIRECT("R9.Web!D"&amp;SUM(18,38*4,18))))</f>
        <v/>
      </c>
      <c r="AO37" s="215" t="str" cm="1">
        <f t="array" aca="1" ref="AO37" ca="1">IF($B37="","",IF(ISBLANK(INDIRECT("R9.Web!D"&amp;SUM(18,38*5,18))),"",INDIRECT("R9.Web!D"&amp;SUM(18,38*5,18))))</f>
        <v/>
      </c>
      <c r="AP37" s="215" t="str" cm="1">
        <f t="array" aca="1" ref="AP37" ca="1">IF($B37="","",IF(ISBLANK(INDIRECT("R9.Web!D"&amp;SUM(18,38*6,18))),"",INDIRECT("R9.Web!D"&amp;SUM(18,38*6,18))))</f>
        <v/>
      </c>
      <c r="AQ37" s="215" t="str" cm="1">
        <f t="array" aca="1" ref="AQ37" ca="1">IF($B37="","",IF(ISBLANK(INDIRECT("R9.Web!D"&amp;SUM(18,38*7,18))),"",INDIRECT("R9.Web!D"&amp;SUM(18,38*7,18))))</f>
        <v/>
      </c>
      <c r="AR37" s="215" t="str" cm="1">
        <f t="array" aca="1" ref="AR37" ca="1">IF($B37="","",IF(ISBLANK(INDIRECT("R9.Web!D"&amp;SUM(18,38*8,18))),"",INDIRECT("R9.Web!D"&amp;SUM(18,38*8,18))))</f>
        <v/>
      </c>
      <c r="AS37" s="215" t="str" cm="1">
        <f t="array" aca="1" ref="AS37" ca="1">IF($B37="","",IF(ISBLANK(INDIRECT("R9.Web!D"&amp;SUM(18,38*9,18))),"",INDIRECT("R9.Web!D"&amp;SUM(18,38*9,18))))</f>
        <v/>
      </c>
      <c r="AT37" s="215" t="str" cm="1">
        <f t="array" aca="1" ref="AT37" ca="1">IF($B37="","",IF(ISBLANK(INDIRECT("R9.Web!D"&amp;SUM(18,38*10,18))),"",INDIRECT("R9.Web!D"&amp;SUM(18,38*10,18))))</f>
        <v/>
      </c>
      <c r="AU37" s="215" t="str" cm="1">
        <f t="array" aca="1" ref="AU37" ca="1">IF($B37="","",IF(ISBLANK(INDIRECT("R9.Web!D"&amp;SUM(18,38*11,18))),"",INDIRECT("R9.Web!D"&amp;SUM(18,38*11,18))))</f>
        <v/>
      </c>
      <c r="AV37" s="215" t="str" cm="1">
        <f t="array" aca="1" ref="AV37" ca="1">IF($B37="","",IF(ISBLANK(INDIRECT("R9.Web!D"&amp;SUM(18,38*12,18))),"",INDIRECT("R9.Web!D"&amp;SUM(18,38*12,18))))</f>
        <v/>
      </c>
      <c r="AW37" s="215" t="str" cm="1">
        <f t="array" aca="1" ref="AW37" ca="1">IF($B37="","",IF(ISBLANK(INDIRECT("R9.Web!D"&amp;SUM(18,38*13,18))),"",INDIRECT("R9.Web!D"&amp;SUM(18,38*13,18))))</f>
        <v/>
      </c>
      <c r="AX37" s="215" t="str" cm="1">
        <f t="array" aca="1" ref="AX37" ca="1">IF($B37="","",IF(ISBLANK(INDIRECT("R9.Web!D"&amp;SUM(18,38*14,18))),"",INDIRECT("R9.Web!D"&amp;SUM(18,38*14,18))))</f>
        <v/>
      </c>
      <c r="AY37" s="215" t="str" cm="1">
        <f t="array" aca="1" ref="AY37" ca="1">IF($B37="","",IF(ISBLANK(INDIRECT("R9.Web!D"&amp;SUM(18,38*15,18))),"",INDIRECT("R9.Web!D"&amp;SUM(18,38*15,18))))</f>
        <v/>
      </c>
      <c r="AZ37" s="215" t="str" cm="1">
        <f t="array" aca="1" ref="AZ37" ca="1">IF($B37="","",IF(ISBLANK(INDIRECT("R9.Web!D"&amp;SUM(18,38*16,18))),"",INDIRECT("R9.Web!D"&amp;SUM(18,38*16,18))))</f>
        <v/>
      </c>
      <c r="BA37" s="215" t="str" cm="1">
        <f t="array" aca="1" ref="BA37" ca="1">IF($B37="","",IF(ISBLANK(INDIRECT("R9.Web!D"&amp;SUM(18,38*17,18))),"",INDIRECT("R9.Web!D"&amp;SUM(18,38*17,18))))</f>
        <v/>
      </c>
      <c r="BB37" s="215" t="str" cm="1">
        <f t="array" aca="1" ref="BB37" ca="1">IF($B37="","",IF(ISBLANK(INDIRECT("R9.Web!D"&amp;SUM(18,38*18,18))),"",INDIRECT("R9.Web!D"&amp;SUM(18,38*18,18))))</f>
        <v/>
      </c>
      <c r="BC37" s="215" t="str" cm="1">
        <f t="array" aca="1" ref="BC37" ca="1">IF($B37="","",IF(ISBLANK(INDIRECT("R9.Web!D"&amp;SUM(18,38*19,18))),"",INDIRECT("R9.Web!D"&amp;SUM(18,38*19,18))))</f>
        <v/>
      </c>
      <c r="BD37" s="215" t="str" cm="1">
        <f t="array" aca="1" ref="BD37" ca="1">IF($B37="","",IF(ISBLANK(INDIRECT("R9.Web!D"&amp;SUM(18,38*20,18))),"",INDIRECT("R9.Web!D"&amp;SUM(18,38*20,18))))</f>
        <v/>
      </c>
      <c r="BE37" s="215" t="str" cm="1">
        <f t="array" aca="1" ref="BE37" ca="1">IF($B37="","",IF(ISBLANK(INDIRECT("R9.Web!D"&amp;SUM(18,38*21,18))),"",INDIRECT("R9.Web!D"&amp;SUM(18,38*21,18))))</f>
        <v/>
      </c>
      <c r="BF37" s="215" t="str" cm="1">
        <f t="array" aca="1" ref="BF37" ca="1">IF($B37="","",IF(ISBLANK(INDIRECT("R9.Web!D"&amp;SUM(18,38*22,18))),"",INDIRECT("R9.Web!D"&amp;SUM(18,38*22,18))))</f>
        <v/>
      </c>
      <c r="BG37" s="215" t="str" cm="1">
        <f t="array" aca="1" ref="BG37" ca="1">IF($B37="","",IF(ISBLANK(INDIRECT("R9.Web!D"&amp;SUM(18,38*23,18))),"",INDIRECT("R9.Web!D"&amp;SUM(18,38*23,18))))</f>
        <v/>
      </c>
      <c r="BH37" s="215" t="str" cm="1">
        <f t="array" aca="1" ref="BH37" ca="1">IF($B37="","",IF(ISBLANK(INDIRECT("R9.Web!D"&amp;SUM(18,38*24,18))),"",INDIRECT("R9.Web!D"&amp;SUM(18,38*24,18))))</f>
        <v/>
      </c>
      <c r="BI37" s="215" t="str" cm="1">
        <f t="array" aca="1" ref="BI37" ca="1">IF($B37="","",IF(ISBLANK(INDIRECT("R9.Web!D"&amp;SUM(18,38*25,18))),"",INDIRECT("R9.Web!D"&amp;SUM(18,38*25,18))))</f>
        <v/>
      </c>
      <c r="BJ37" s="215" t="str" cm="1">
        <f t="array" aca="1" ref="BJ37" ca="1">IF($B37="","",IF(ISBLANK(INDIRECT("R9.Web!D"&amp;SUM(18,38*26,18))),"",INDIRECT("R9.Web!D"&amp;SUM(18,38*26,18))))</f>
        <v/>
      </c>
      <c r="BK37" s="215" t="str" cm="1">
        <f t="array" aca="1" ref="BK37" ca="1">IF($B37="","",IF(ISBLANK(INDIRECT("R9.Web!D"&amp;SUM(18,38*27,18))),"",INDIRECT("R9.Web!D"&amp;SUM(18,38*27,18))))</f>
        <v/>
      </c>
      <c r="BL37" s="215" t="str" cm="1">
        <f t="array" aca="1" ref="BL37" ca="1">IF($B37="","",IF(ISBLANK(INDIRECT("R9.Web!D"&amp;SUM(18,38*28,18))),"",INDIRECT("R9.Web!D"&amp;SUM(18,38*28,18))))</f>
        <v/>
      </c>
      <c r="BM37" s="215" t="str" cm="1">
        <f t="array" aca="1" ref="BM37" ca="1">IF($B37="","",IF(ISBLANK(INDIRECT("R9.Web!D"&amp;SUM(18,38*29,18))),"",INDIRECT("R9.Web!D"&amp;SUM(18,38*29,18))))</f>
        <v/>
      </c>
      <c r="BN37" s="215" t="str" cm="1">
        <f t="array" aca="1" ref="BN37" ca="1">IF($B37="","",IF(ISBLANK(INDIRECT("R9.Web!D"&amp;SUM(18,38*30,18))),"",INDIRECT("R9.Web!D"&amp;SUM(18,38*30,18))))</f>
        <v/>
      </c>
      <c r="BO37" s="215" t="str" cm="1">
        <f t="array" aca="1" ref="BO37" ca="1">IF($B37="","",IF(ISBLANK(INDIRECT("R9.Web!D"&amp;SUM(18,38*31,18))),"",INDIRECT("R9.Web!D"&amp;SUM(18,38*31,18))))</f>
        <v/>
      </c>
      <c r="BP37" s="215" t="str" cm="1">
        <f t="array" aca="1" ref="BP37" ca="1">IF($B37="","",IF(ISBLANK(INDIRECT("R9.Web!D"&amp;SUM(18,38*32,18))),"",INDIRECT("R9.Web!D"&amp;SUM(18,38*32,18))))</f>
        <v/>
      </c>
      <c r="BQ37" s="215" t="str" cm="1">
        <f t="array" aca="1" ref="BQ37" ca="1">IF($B37="","",IF(ISBLANK(INDIRECT("R9.Web!D"&amp;SUM(18,38*33,18))),"",INDIRECT("R9.Web!D"&amp;SUM(18,38*33,18))))</f>
        <v/>
      </c>
      <c r="BR37" s="215" t="str" cm="1">
        <f t="array" aca="1" ref="BR37" ca="1">IF($B37="","",IF(ISBLANK(INDIRECT("R9.Web!D"&amp;SUM(18,38*34,18))),"",INDIRECT("R9.Web!D"&amp;SUM(18,38*34,18))))</f>
        <v/>
      </c>
      <c r="BS37" s="215" t="str" cm="1">
        <f t="array" aca="1" ref="BS37" ca="1">IF($B37="","",IF(ISBLANK(INDIRECT("R9.Web!D"&amp;SUM(18,38*35,18))),"",INDIRECT("R9.Web!D"&amp;SUM(18,38*35,18))))</f>
        <v/>
      </c>
      <c r="BT37" s="215" t="str" cm="1">
        <f t="array" aca="1" ref="BT37" ca="1">IF($B37="","",IF(ISBLANK(INDIRECT("R9.Web!D"&amp;SUM(18,38*36,18))),"",INDIRECT("R9.Web!D"&amp;SUM(18,38*36,18))))</f>
        <v/>
      </c>
      <c r="BU37" s="215" t="str" cm="1">
        <f t="array" aca="1" ref="BU37" ca="1">IF($B37="","",IF(ISBLANK(INDIRECT("R9.Web!D"&amp;SUM(18,38*37,18))),"",INDIRECT("R9.Web!D"&amp;SUM(18,38*37,18))))</f>
        <v/>
      </c>
      <c r="BV37" s="215" t="str" cm="1">
        <f t="array" aca="1" ref="BV37" ca="1">IF($B37="","",IF(ISBLANK(INDIRECT("R9.Web!D"&amp;SUM(18,38*38,18))),"",INDIRECT("R9.Web!D"&amp;SUM(18,38*38,18))))</f>
        <v/>
      </c>
      <c r="BW37" s="215" t="str" cm="1">
        <f t="array" aca="1" ref="BW37" ca="1">IF($B37="","",IF(ISBLANK(INDIRECT("R9.Web!D"&amp;SUM(18,38*39,18))),"",INDIRECT("R9.Web!D"&amp;SUM(18,38*39,18))))</f>
        <v/>
      </c>
      <c r="BX37" s="215" t="str" cm="1">
        <f t="array" aca="1" ref="BX37" ca="1">IF($B37="","",IF(ISBLANK(INDIRECT("R9.Web!D"&amp;SUM(18,38*40,18))),"",INDIRECT("R9.Web!D"&amp;SUM(18,38*40,18))))</f>
        <v/>
      </c>
      <c r="BY37" s="215" t="str" cm="1">
        <f t="array" aca="1" ref="BY37" ca="1">IF($B37="","",IF(ISBLANK(INDIRECT("R9.Web!D"&amp;SUM(18,38*41,18))),"",INDIRECT("R9.Web!D"&amp;SUM(18,38*41,18))))</f>
        <v/>
      </c>
      <c r="BZ37" s="215" t="str" cm="1">
        <f t="array" aca="1" ref="BZ37" ca="1">IF($B37="","",IF(ISBLANK(INDIRECT("R9.Web!D"&amp;SUM(18,38*42,18))),"",INDIRECT("R9.Web!D"&amp;SUM(18,38*42,18))))</f>
        <v/>
      </c>
      <c r="CA37" s="215" t="str" cm="1">
        <f t="array" aca="1" ref="CA37" ca="1">IF($B37="","",IF(ISBLANK(INDIRECT("R9.Web!D"&amp;SUM(18,38*43,18))),"",INDIRECT("R9.Web!D"&amp;SUM(18,38*43,18))))</f>
        <v/>
      </c>
      <c r="CB37" s="215" t="str" cm="1">
        <f t="array" aca="1" ref="CB37" ca="1">IF($B37="","",IF(ISBLANK(INDIRECT("R9.Web!D"&amp;SUM(18,38*44,18))),"",INDIRECT("R9.Web!D"&amp;SUM(18,38*44,18))))</f>
        <v/>
      </c>
      <c r="CC37" s="215" t="str" cm="1">
        <f t="array" aca="1" ref="CC37" ca="1">IF($B37="","",IF(ISBLANK(INDIRECT("R9.Web!D"&amp;SUM(18,38*45,18))),"",INDIRECT("R9.Web!D"&amp;SUM(18,38*45,18))))</f>
        <v/>
      </c>
      <c r="CD37" s="215" t="str" cm="1">
        <f t="array" aca="1" ref="CD37" ca="1">IF($B37="","",IF(ISBLANK(INDIRECT("R9.Web!D"&amp;SUM(18,38*46,18))),"",INDIRECT("R9.Web!D"&amp;SUM(18,38*46,18))))</f>
        <v/>
      </c>
      <c r="CE37" s="215" t="str" cm="1">
        <f t="array" aca="1" ref="CE37" ca="1">IF($B37="","",IF(ISBLANK(INDIRECT("R9.Web!D"&amp;SUM(18,38*47,18))),"",INDIRECT("R9.Web!D"&amp;SUM(18,38*47,18))))</f>
        <v/>
      </c>
      <c r="CF37" s="215" t="str" cm="1">
        <f t="array" aca="1" ref="CF37" ca="1">IF($B37="","",IF(ISBLANK(INDIRECT("R9.Web!D"&amp;SUM(18,38*48,18))),"",INDIRECT("R9.Web!D"&amp;SUM(18,38*48,18))))</f>
        <v/>
      </c>
      <c r="CG37" s="215" t="str" cm="1">
        <f t="array" aca="1" ref="CG37" ca="1">IF($B37="","",IF(ISBLANK(INDIRECT("R9.Web!D"&amp;SUM(18,38*49,18))),"",INDIRECT("R9.Web!D"&amp;SUM(18,38*49,18))))</f>
        <v/>
      </c>
      <c r="CH37" s="215" t="str" cm="1">
        <f t="array" aca="1" ref="CH37" ca="1">IF($B37="","",IF(ISBLANK(INDIRECT("R11.Software!D"&amp;SUM(18,38*0,18))),"",INDIRECT("R11.Software!D"&amp;SUM(18,38*0,18))))</f>
        <v/>
      </c>
      <c r="CI37" s="215" t="str" cm="1">
        <f t="array" aca="1" ref="CI37" ca="1">IF($B37="","",IF(ISBLANK(INDIRECT("R11.Software!D"&amp;SUM(18,38*1,18))),"",INDIRECT("R11.Software!D"&amp;SUM(18,38*1,18))))</f>
        <v/>
      </c>
      <c r="CJ37" s="215" t="str" cm="1">
        <f t="array" aca="1" ref="CJ37" ca="1">IF($B37="","",IF(ISBLANK(INDIRECT("R11.Software!D"&amp;SUM(18,38*2,18))),"",INDIRECT("R11.Software!D"&amp;SUM(18,38*2,18))))</f>
        <v/>
      </c>
      <c r="CK37" s="215" t="str" cm="1">
        <f t="array" aca="1" ref="CK37" ca="1">IF($B37="","",IF(ISBLANK(INDIRECT("R11.Software!D"&amp;SUM(18,38*3,18))),"",INDIRECT("R11.Software!D"&amp;SUM(18,38*3,18))))</f>
        <v/>
      </c>
      <c r="CL37" s="215" t="str" cm="1">
        <f t="array" aca="1" ref="CL37" ca="1">IF($B37="","",IF(ISBLANK(INDIRECT("R11.Software!D"&amp;SUM(18,38*4,18))),"",INDIRECT("R11.Software!D"&amp;SUM(18,38*4,18))))</f>
        <v/>
      </c>
      <c r="CM37" s="215" t="str" cm="1">
        <f t="array" aca="1" ref="CM37" ca="1">IF($B37="","",IF(ISBLANK(INDIRECT("R11.Software!D"&amp;SUM(18,38*5,18))),"",INDIRECT("R11.Software!D"&amp;SUM(18,38*5,18))))</f>
        <v/>
      </c>
      <c r="CN37" s="215" t="str" cm="1">
        <f t="array" aca="1" ref="CN37" ca="1">IF($B37="","",IF(ISBLANK(INDIRECT("R12.ServiciosApoyo!D"&amp;SUM(18,38*0,18))),"",INDIRECT("R12.ServiciosApoyo!D"&amp;SUM(18,38*0,18))))</f>
        <v/>
      </c>
      <c r="CO37" s="215" t="str" cm="1">
        <f t="array" aca="1" ref="CO37" ca="1">IF($B37="","",IF(ISBLANK(INDIRECT("R12.ServiciosApoyo!D"&amp;SUM(18,38*1,18))),"",INDIRECT("R12.ServiciosApoyo!D"&amp;SUM(18,38*1,18))))</f>
        <v/>
      </c>
      <c r="CP37" s="215" t="str" cm="1">
        <f t="array" aca="1" ref="CP37" ca="1">IF($B37="","",IF(ISBLANK(INDIRECT("R12.ServiciosApoyo!D"&amp;SUM(18,38*2,18))),"",INDIRECT("R12.ServiciosApoyo!D"&amp;SUM(18,38*2,18))))</f>
        <v/>
      </c>
      <c r="CQ37" s="215" t="str" cm="1">
        <f t="array" aca="1" ref="CQ37" ca="1">IF($B37="","",IF(ISBLANK(INDIRECT("R12.ServiciosApoyo!D"&amp;SUM(18,38*3,18))),"",INDIRECT("R12.ServiciosApoyo!D"&amp;SUM(18,38*3,18))))</f>
        <v/>
      </c>
      <c r="CR37" s="215" t="str" cm="1">
        <f t="array" aca="1" ref="CR37" ca="1">IF($B37="","",IF(ISBLANK(INDIRECT("R12.ServiciosApoyo!D"&amp;SUM(18,38*4,18))),"",INDIRECT("R12.ServiciosApoyo!D"&amp;SUM(18,38*4,18))))</f>
        <v/>
      </c>
      <c r="CU37" s="100"/>
      <c r="CV37" s="29"/>
      <c r="CW37" s="29"/>
      <c r="CX37" s="29"/>
    </row>
    <row r="38" spans="2:102" ht="20.25">
      <c r="B38" s="181" t="str" cm="1">
        <f t="array" ref="B38">IFERROR(INDEX('03.Muestra'!$B$8:$B$42,SMALL(IF("Página Web"='03.Muestra'!$D$8:$D$42,ROW('03.Muestra'!$B$8:$B$42)-MIN(ROW('03.Muestra'!$D$8:$D$42))+1,""),ROW()-19)),"")</f>
        <v/>
      </c>
      <c r="C38" s="97" t="str" cm="1">
        <f t="array" ref="C38">IFERROR(INDEX('03.Muestra'!$C$8:$C$42,SMALL(IF("Página Web"='03.Muestra'!$D$8:$D$42,ROW('03.Muestra'!$C$8:$C$42)-MIN(ROW('03.Muestra'!$D$8:$D$42))+1,""),ROW()-19)),"")</f>
        <v/>
      </c>
      <c r="D38" s="98" t="str" cm="1">
        <f t="array" ref="D38">IFERROR(INDEX('03.Muestra'!$F$8:$F$42,SMALL(IF("Página Web"='03.Muestra'!$D$8:$D$42,ROW('03.Muestra'!$F$8:$F$42)-MIN(ROW('03.Muestra'!$D$8:$D$42))+1,""),ROW()-19)),"")</f>
        <v/>
      </c>
      <c r="E38" s="215" t="str" cm="1">
        <f t="array" aca="1" ref="E38" ca="1">IF($B38="","",IF(ISBLANK(INDIRECT("R5.Genéricos!D"&amp;SUM(18,38*0,19))),"",INDIRECT("R5.Genéricos!D"&amp;SUM(18,38*0,19))))</f>
        <v/>
      </c>
      <c r="F38" s="215" t="str" cm="1">
        <f t="array" aca="1" ref="F38" ca="1">IF($B38="","",IF(ISBLANK(INDIRECT("R5.Genéricos!D"&amp;SUM(18,38*1,19))),"",INDIRECT("R5.Genéricos!D"&amp;SUM(18,38*1,19))))</f>
        <v/>
      </c>
      <c r="G38" s="215" t="str" cm="1">
        <f t="array" aca="1" ref="G38" ca="1">IF($B38="","",IF(ISBLANK(INDIRECT("R5.Genéricos!D"&amp;SUM(18,38*2,19))),"",INDIRECT("R5.Genéricos!D"&amp;SUM(18,38*2,19))))</f>
        <v/>
      </c>
      <c r="H38" s="215" t="str" cm="1">
        <f t="array" aca="1" ref="H38" ca="1">IF($B38="","",IF(ISBLANK(INDIRECT("R6.Voz!D"&amp;SUM(18,38*0,19))),"",INDIRECT("R6.Voz!D"&amp;SUM(18,38*0,19))))</f>
        <v/>
      </c>
      <c r="I38" s="215" t="str" cm="1">
        <f t="array" aca="1" ref="I38" ca="1">IF($B38="","",IF(ISBLANK(INDIRECT("R6.Voz!D"&amp;SUM(18,38*1,19))),"",INDIRECT("R6.Voz!D"&amp;SUM(18,38*1,19))))</f>
        <v/>
      </c>
      <c r="J38" s="215" t="str" cm="1">
        <f t="array" aca="1" ref="J38" ca="1">IF($B38="","",IF(ISBLANK(INDIRECT("R6.Voz!D"&amp;SUM(18,38*2,19))),"",INDIRECT("R6.Voz!D"&amp;SUM(18,38*2,19))))</f>
        <v/>
      </c>
      <c r="K38" s="215" t="str" cm="1">
        <f t="array" aca="1" ref="K38" ca="1">IF($B38="","",IF(ISBLANK(INDIRECT("R6.Voz!D"&amp;SUM(18,38*3,19))),"",INDIRECT("R6.Voz!D"&amp;SUM(18,38*3,19))))</f>
        <v/>
      </c>
      <c r="L38" s="215" t="str" cm="1">
        <f t="array" aca="1" ref="L38" ca="1">IF($B38="","",IF(ISBLANK(INDIRECT("R6.Voz!D"&amp;SUM(18,38*4,19))),"",INDIRECT("R6.Voz!D"&amp;SUM(18,38*4,19))))</f>
        <v/>
      </c>
      <c r="M38" s="215" t="str" cm="1">
        <f t="array" aca="1" ref="M38" ca="1">IF($B38="","",IF(ISBLANK(INDIRECT("R6.Voz!D"&amp;SUM(18,38*5,19))),"",INDIRECT("R6.Voz!D"&amp;SUM(18,38*5,19))))</f>
        <v/>
      </c>
      <c r="N38" s="215" t="str" cm="1">
        <f t="array" aca="1" ref="N38" ca="1">IF($B38="","",IF(ISBLANK(INDIRECT("R6.Voz!D"&amp;SUM(18,38*6,19))),"",INDIRECT("R6.Voz!D"&amp;SUM(18,38*6,19))))</f>
        <v/>
      </c>
      <c r="O38" s="215" t="str" cm="1">
        <f t="array" aca="1" ref="O38" ca="1">IF($B38="","",IF(ISBLANK(INDIRECT("R6.Voz!D"&amp;SUM(18,38*7,19))),"",INDIRECT("R6.Voz!D"&amp;SUM(18,38*7,19))))</f>
        <v/>
      </c>
      <c r="P38" s="215" t="str" cm="1">
        <f t="array" aca="1" ref="P38" ca="1">IF($B38="","",IF(ISBLANK(INDIRECT("R6.Voz!D"&amp;SUM(18,38*8,19))),"",INDIRECT("R6.Voz!D"&amp;SUM(18,38*8,19))))</f>
        <v/>
      </c>
      <c r="Q38" s="215" t="str" cm="1">
        <f t="array" aca="1" ref="Q38" ca="1">IF($B38="","",IF(ISBLANK(INDIRECT("R6.Voz!D"&amp;SUM(18,38*9,19))),"",INDIRECT("R6.Voz!D"&amp;SUM(18,38*9,19))))</f>
        <v/>
      </c>
      <c r="R38" s="215" t="str" cm="1">
        <f t="array" aca="1" ref="R38" ca="1">IF($B38="","",IF(ISBLANK(INDIRECT("R6.Voz!D"&amp;SUM(18,38*10,19))),"",INDIRECT("R6.Voz!D"&amp;SUM(18,38*10,19))))</f>
        <v/>
      </c>
      <c r="S38" s="215" t="str" cm="1">
        <f t="array" aca="1" ref="S38" ca="1">IF($B38="","",IF(ISBLANK(INDIRECT("R6.Voz!D"&amp;SUM(18,38*11,19))),"",INDIRECT("R6.Voz!D"&amp;SUM(18,38*11,19))))</f>
        <v/>
      </c>
      <c r="T38" s="215" t="str" cm="1">
        <f t="array" aca="1" ref="T38" ca="1">IF($B38="","",IF(ISBLANK(INDIRECT("R6.Voz!D"&amp;SUM(18,38*12,19))),"",INDIRECT("R6.Voz!D"&amp;SUM(18,38*12,19))))</f>
        <v/>
      </c>
      <c r="U38" s="215" t="str" cm="1">
        <f t="array" aca="1" ref="U38" ca="1">IF($B38="","",IF(ISBLANK(INDIRECT("R6.Voz!D"&amp;SUM(18,38*13,19))),"",INDIRECT("R6.Voz!D"&amp;SUM(18,38*13,19))))</f>
        <v/>
      </c>
      <c r="V38" s="215" t="str" cm="1">
        <f t="array" aca="1" ref="V38" ca="1">IF($B38="","",IF(ISBLANK(INDIRECT("R6.Voz!D"&amp;SUM(18,38*14,19))),"",INDIRECT("R6.Voz!D"&amp;SUM(18,38*14,19))))</f>
        <v/>
      </c>
      <c r="W38" s="215" t="str" cm="1">
        <f t="array" aca="1" ref="W38" ca="1">IF($B38="","",IF(ISBLANK(INDIRECT("R6.Voz!D"&amp;SUM(18,38*15,19))),"",INDIRECT("R6.Voz!D"&amp;SUM(18,38*15,19))))</f>
        <v/>
      </c>
      <c r="X38" s="215" t="str" cm="1">
        <f t="array" aca="1" ref="X38" ca="1">IF($B38="","",IF(ISBLANK(INDIRECT("R6.Voz!D"&amp;SUM(18,38*16,19))),"",INDIRECT("R6.Voz!D"&amp;SUM(18,38*16,19))))</f>
        <v/>
      </c>
      <c r="Y38" s="215" t="str" cm="1">
        <f t="array" aca="1" ref="Y38" ca="1">IF($B38="","",IF(ISBLANK(INDIRECT("R6.Voz!D"&amp;SUM(18,38*17,19))),"",INDIRECT("R6.Voz!D"&amp;SUM(18,38*17,19))))</f>
        <v/>
      </c>
      <c r="Z38" s="215" t="str" cm="1">
        <f t="array" aca="1" ref="Z38" ca="1">IF($B38="","",IF(ISBLANK(INDIRECT("R6.Voz!D"&amp;SUM(18,38*18,19))),"",INDIRECT("R6.Voz!D"&amp;SUM(18,38*18,19))))</f>
        <v/>
      </c>
      <c r="AA38" s="215" t="str" cm="1">
        <f t="array" aca="1" ref="AA38" ca="1">IF($B38="","",IF(ISBLANK(INDIRECT("R7.Video!D"&amp;SUM(18,38*0,19))),"",INDIRECT("R7.Video!D"&amp;SUM(18,38*0,19))))</f>
        <v/>
      </c>
      <c r="AB38" s="215" t="str" cm="1">
        <f t="array" aca="1" ref="AB38" ca="1">IF($B38="","",IF(ISBLANK(INDIRECT("R7.Video!D"&amp;SUM(18,38*1,19))),"",INDIRECT("R7.Video!D"&amp;SUM(18,38*1,19))))</f>
        <v/>
      </c>
      <c r="AC38" s="215" t="str" cm="1">
        <f t="array" aca="1" ref="AC38" ca="1">IF($B38="","",IF(ISBLANK(INDIRECT("R7.Video!D"&amp;SUM(18,38*2,19))),"",INDIRECT("R7.Video!D"&amp;SUM(18,38*2,19))))</f>
        <v/>
      </c>
      <c r="AD38" s="215" t="str" cm="1">
        <f t="array" aca="1" ref="AD38" ca="1">IF($B38="","",IF(ISBLANK(INDIRECT("R7.Video!D"&amp;SUM(18,38*3,19))),"",INDIRECT("R7.Video!D"&amp;SUM(18,38*3,19))))</f>
        <v/>
      </c>
      <c r="AE38" s="215" t="str" cm="1">
        <f t="array" aca="1" ref="AE38" ca="1">IF($B38="","",IF(ISBLANK(INDIRECT("R7.Video!D"&amp;SUM(18,38*4,19))),"",INDIRECT("R7.Video!D"&amp;SUM(18,38*4,19))))</f>
        <v/>
      </c>
      <c r="AF38" s="215" t="str" cm="1">
        <f t="array" aca="1" ref="AF38" ca="1">IF($B38="","",IF(ISBLANK(INDIRECT("R7.Video!D"&amp;SUM(18,38*5,19))),"",INDIRECT("R7.Video!D"&amp;SUM(18,38*5,19))))</f>
        <v/>
      </c>
      <c r="AG38" s="215" t="str" cm="1">
        <f t="array" aca="1" ref="AG38" ca="1">IF($B38="","",IF(ISBLANK(INDIRECT("R7.Video!D"&amp;SUM(18,38*6,19))),"",INDIRECT("R7.Video!D"&amp;SUM(18,38*6,19))))</f>
        <v/>
      </c>
      <c r="AH38" s="215" t="str" cm="1">
        <f t="array" aca="1" ref="AH38" ca="1">IF($B38="","",IF(ISBLANK(INDIRECT("R7.Video!D"&amp;SUM(18,38*7,19))),"",INDIRECT("R7.Video!D"&amp;SUM(18,38*7,19))))</f>
        <v/>
      </c>
      <c r="AI38" s="215" t="str" cm="1">
        <f t="array" aca="1" ref="AI38" ca="1">IF($B38="","",IF(ISBLANK(INDIRECT("R7.Video!D"&amp;SUM(18,38*8,19))),"",INDIRECT("R7.Video!D"&amp;SUM(18,38*8,19))))</f>
        <v/>
      </c>
      <c r="AJ38" s="215" t="str" cm="1">
        <f t="array" aca="1" ref="AJ38" ca="1">IF($B38="","",IF(ISBLANK(INDIRECT("R9.Web!D"&amp;SUM(18,38*0,19))),"",INDIRECT("R9.Web!D"&amp;SUM(18,38*0,19))))</f>
        <v/>
      </c>
      <c r="AK38" s="215" t="str" cm="1">
        <f t="array" aca="1" ref="AK38" ca="1">IF($B38="","",IF(ISBLANK(INDIRECT("R9.Web!D"&amp;SUM(18,38*1,19))),"",INDIRECT("R9.Web!D"&amp;SUM(18,38*1,19))))</f>
        <v/>
      </c>
      <c r="AL38" s="215" t="str" cm="1">
        <f t="array" aca="1" ref="AL38" ca="1">IF($B38="","",IF(ISBLANK(INDIRECT("R9.Web!D"&amp;SUM(18,38*2,19))),"",INDIRECT("R9.Web!D"&amp;SUM(18,38*2,19))))</f>
        <v/>
      </c>
      <c r="AM38" s="215" t="str" cm="1">
        <f t="array" aca="1" ref="AM38" ca="1">IF($B38="","",IF(ISBLANK(INDIRECT("R9.Web!D"&amp;SUM(18,38*3,19))),"",INDIRECT("R9.Web!D"&amp;SUM(18,38*3,19))))</f>
        <v/>
      </c>
      <c r="AN38" s="215" t="str" cm="1">
        <f t="array" aca="1" ref="AN38" ca="1">IF($B38="","",IF(ISBLANK(INDIRECT("R9.Web!D"&amp;SUM(18,38*4,19))),"",INDIRECT("R9.Web!D"&amp;SUM(18,38*4,19))))</f>
        <v/>
      </c>
      <c r="AO38" s="215" t="str" cm="1">
        <f t="array" aca="1" ref="AO38" ca="1">IF($B38="","",IF(ISBLANK(INDIRECT("R9.Web!D"&amp;SUM(18,38*5,19))),"",INDIRECT("R9.Web!D"&amp;SUM(18,38*5,19))))</f>
        <v/>
      </c>
      <c r="AP38" s="215" t="str" cm="1">
        <f t="array" aca="1" ref="AP38" ca="1">IF($B38="","",IF(ISBLANK(INDIRECT("R9.Web!D"&amp;SUM(18,38*6,19))),"",INDIRECT("R9.Web!D"&amp;SUM(18,38*6,19))))</f>
        <v/>
      </c>
      <c r="AQ38" s="215" t="str" cm="1">
        <f t="array" aca="1" ref="AQ38" ca="1">IF($B38="","",IF(ISBLANK(INDIRECT("R9.Web!D"&amp;SUM(18,38*7,19))),"",INDIRECT("R9.Web!D"&amp;SUM(18,38*7,19))))</f>
        <v/>
      </c>
      <c r="AR38" s="215" t="str" cm="1">
        <f t="array" aca="1" ref="AR38" ca="1">IF($B38="","",IF(ISBLANK(INDIRECT("R9.Web!D"&amp;SUM(18,38*8,19))),"",INDIRECT("R9.Web!D"&amp;SUM(18,38*8,19))))</f>
        <v/>
      </c>
      <c r="AS38" s="215" t="str" cm="1">
        <f t="array" aca="1" ref="AS38" ca="1">IF($B38="","",IF(ISBLANK(INDIRECT("R9.Web!D"&amp;SUM(18,38*9,19))),"",INDIRECT("R9.Web!D"&amp;SUM(18,38*9,19))))</f>
        <v/>
      </c>
      <c r="AT38" s="215" t="str" cm="1">
        <f t="array" aca="1" ref="AT38" ca="1">IF($B38="","",IF(ISBLANK(INDIRECT("R9.Web!D"&amp;SUM(18,38*10,19))),"",INDIRECT("R9.Web!D"&amp;SUM(18,38*10,19))))</f>
        <v/>
      </c>
      <c r="AU38" s="215" t="str" cm="1">
        <f t="array" aca="1" ref="AU38" ca="1">IF($B38="","",IF(ISBLANK(INDIRECT("R9.Web!D"&amp;SUM(18,38*11,19))),"",INDIRECT("R9.Web!D"&amp;SUM(18,38*11,19))))</f>
        <v/>
      </c>
      <c r="AV38" s="215" t="str" cm="1">
        <f t="array" aca="1" ref="AV38" ca="1">IF($B38="","",IF(ISBLANK(INDIRECT("R9.Web!D"&amp;SUM(18,38*12,19))),"",INDIRECT("R9.Web!D"&amp;SUM(18,38*12,19))))</f>
        <v/>
      </c>
      <c r="AW38" s="215" t="str" cm="1">
        <f t="array" aca="1" ref="AW38" ca="1">IF($B38="","",IF(ISBLANK(INDIRECT("R9.Web!D"&amp;SUM(18,38*13,19))),"",INDIRECT("R9.Web!D"&amp;SUM(18,38*13,19))))</f>
        <v/>
      </c>
      <c r="AX38" s="215" t="str" cm="1">
        <f t="array" aca="1" ref="AX38" ca="1">IF($B38="","",IF(ISBLANK(INDIRECT("R9.Web!D"&amp;SUM(18,38*14,19))),"",INDIRECT("R9.Web!D"&amp;SUM(18,38*14,19))))</f>
        <v/>
      </c>
      <c r="AY38" s="215" t="str" cm="1">
        <f t="array" aca="1" ref="AY38" ca="1">IF($B38="","",IF(ISBLANK(INDIRECT("R9.Web!D"&amp;SUM(18,38*15,19))),"",INDIRECT("R9.Web!D"&amp;SUM(18,38*15,19))))</f>
        <v/>
      </c>
      <c r="AZ38" s="215" t="str" cm="1">
        <f t="array" aca="1" ref="AZ38" ca="1">IF($B38="","",IF(ISBLANK(INDIRECT("R9.Web!D"&amp;SUM(18,38*16,19))),"",INDIRECT("R9.Web!D"&amp;SUM(18,38*16,19))))</f>
        <v/>
      </c>
      <c r="BA38" s="215" t="str" cm="1">
        <f t="array" aca="1" ref="BA38" ca="1">IF($B38="","",IF(ISBLANK(INDIRECT("R9.Web!D"&amp;SUM(18,38*17,19))),"",INDIRECT("R9.Web!D"&amp;SUM(18,38*17,19))))</f>
        <v/>
      </c>
      <c r="BB38" s="215" t="str" cm="1">
        <f t="array" aca="1" ref="BB38" ca="1">IF($B38="","",IF(ISBLANK(INDIRECT("R9.Web!D"&amp;SUM(18,38*18,19))),"",INDIRECT("R9.Web!D"&amp;SUM(18,38*18,19))))</f>
        <v/>
      </c>
      <c r="BC38" s="215" t="str" cm="1">
        <f t="array" aca="1" ref="BC38" ca="1">IF($B38="","",IF(ISBLANK(INDIRECT("R9.Web!D"&amp;SUM(18,38*19,19))),"",INDIRECT("R9.Web!D"&amp;SUM(18,38*19,19))))</f>
        <v/>
      </c>
      <c r="BD38" s="215" t="str" cm="1">
        <f t="array" aca="1" ref="BD38" ca="1">IF($B38="","",IF(ISBLANK(INDIRECT("R9.Web!D"&amp;SUM(18,38*20,19))),"",INDIRECT("R9.Web!D"&amp;SUM(18,38*20,19))))</f>
        <v/>
      </c>
      <c r="BE38" s="215" t="str" cm="1">
        <f t="array" aca="1" ref="BE38" ca="1">IF($B38="","",IF(ISBLANK(INDIRECT("R9.Web!D"&amp;SUM(18,38*21,19))),"",INDIRECT("R9.Web!D"&amp;SUM(18,38*21,19))))</f>
        <v/>
      </c>
      <c r="BF38" s="215" t="str" cm="1">
        <f t="array" aca="1" ref="BF38" ca="1">IF($B38="","",IF(ISBLANK(INDIRECT("R9.Web!D"&amp;SUM(18,38*22,19))),"",INDIRECT("R9.Web!D"&amp;SUM(18,38*22,19))))</f>
        <v/>
      </c>
      <c r="BG38" s="215" t="str" cm="1">
        <f t="array" aca="1" ref="BG38" ca="1">IF($B38="","",IF(ISBLANK(INDIRECT("R9.Web!D"&amp;SUM(18,38*23,19))),"",INDIRECT("R9.Web!D"&amp;SUM(18,38*23,19))))</f>
        <v/>
      </c>
      <c r="BH38" s="215" t="str" cm="1">
        <f t="array" aca="1" ref="BH38" ca="1">IF($B38="","",IF(ISBLANK(INDIRECT("R9.Web!D"&amp;SUM(18,38*24,19))),"",INDIRECT("R9.Web!D"&amp;SUM(18,38*24,19))))</f>
        <v/>
      </c>
      <c r="BI38" s="215" t="str" cm="1">
        <f t="array" aca="1" ref="BI38" ca="1">IF($B38="","",IF(ISBLANK(INDIRECT("R9.Web!D"&amp;SUM(18,38*25,19))),"",INDIRECT("R9.Web!D"&amp;SUM(18,38*25,19))))</f>
        <v/>
      </c>
      <c r="BJ38" s="215" t="str" cm="1">
        <f t="array" aca="1" ref="BJ38" ca="1">IF($B38="","",IF(ISBLANK(INDIRECT("R9.Web!D"&amp;SUM(18,38*26,19))),"",INDIRECT("R9.Web!D"&amp;SUM(18,38*26,19))))</f>
        <v/>
      </c>
      <c r="BK38" s="215" t="str" cm="1">
        <f t="array" aca="1" ref="BK38" ca="1">IF($B38="","",IF(ISBLANK(INDIRECT("R9.Web!D"&amp;SUM(18,38*27,19))),"",INDIRECT("R9.Web!D"&amp;SUM(18,38*27,19))))</f>
        <v/>
      </c>
      <c r="BL38" s="215" t="str" cm="1">
        <f t="array" aca="1" ref="BL38" ca="1">IF($B38="","",IF(ISBLANK(INDIRECT("R9.Web!D"&amp;SUM(18,38*28,19))),"",INDIRECT("R9.Web!D"&amp;SUM(18,38*28,19))))</f>
        <v/>
      </c>
      <c r="BM38" s="215" t="str" cm="1">
        <f t="array" aca="1" ref="BM38" ca="1">IF($B38="","",IF(ISBLANK(INDIRECT("R9.Web!D"&amp;SUM(18,38*29,19))),"",INDIRECT("R9.Web!D"&amp;SUM(18,38*29,19))))</f>
        <v/>
      </c>
      <c r="BN38" s="215" t="str" cm="1">
        <f t="array" aca="1" ref="BN38" ca="1">IF($B38="","",IF(ISBLANK(INDIRECT("R9.Web!D"&amp;SUM(18,38*30,19))),"",INDIRECT("R9.Web!D"&amp;SUM(18,38*30,19))))</f>
        <v/>
      </c>
      <c r="BO38" s="215" t="str" cm="1">
        <f t="array" aca="1" ref="BO38" ca="1">IF($B38="","",IF(ISBLANK(INDIRECT("R9.Web!D"&amp;SUM(18,38*31,19))),"",INDIRECT("R9.Web!D"&amp;SUM(18,38*31,19))))</f>
        <v/>
      </c>
      <c r="BP38" s="215" t="str" cm="1">
        <f t="array" aca="1" ref="BP38" ca="1">IF($B38="","",IF(ISBLANK(INDIRECT("R9.Web!D"&amp;SUM(18,38*32,19))),"",INDIRECT("R9.Web!D"&amp;SUM(18,38*32,19))))</f>
        <v/>
      </c>
      <c r="BQ38" s="215" t="str" cm="1">
        <f t="array" aca="1" ref="BQ38" ca="1">IF($B38="","",IF(ISBLANK(INDIRECT("R9.Web!D"&amp;SUM(18,38*33,19))),"",INDIRECT("R9.Web!D"&amp;SUM(18,38*33,19))))</f>
        <v/>
      </c>
      <c r="BR38" s="215" t="str" cm="1">
        <f t="array" aca="1" ref="BR38" ca="1">IF($B38="","",IF(ISBLANK(INDIRECT("R9.Web!D"&amp;SUM(18,38*34,19))),"",INDIRECT("R9.Web!D"&amp;SUM(18,38*34,19))))</f>
        <v/>
      </c>
      <c r="BS38" s="215" t="str" cm="1">
        <f t="array" aca="1" ref="BS38" ca="1">IF($B38="","",IF(ISBLANK(INDIRECT("R9.Web!D"&amp;SUM(18,38*35,19))),"",INDIRECT("R9.Web!D"&amp;SUM(18,38*35,19))))</f>
        <v/>
      </c>
      <c r="BT38" s="215" t="str" cm="1">
        <f t="array" aca="1" ref="BT38" ca="1">IF($B38="","",IF(ISBLANK(INDIRECT("R9.Web!D"&amp;SUM(18,38*36,19))),"",INDIRECT("R9.Web!D"&amp;SUM(18,38*36,19))))</f>
        <v/>
      </c>
      <c r="BU38" s="215" t="str" cm="1">
        <f t="array" aca="1" ref="BU38" ca="1">IF($B38="","",IF(ISBLANK(INDIRECT("R9.Web!D"&amp;SUM(18,38*37,19))),"",INDIRECT("R9.Web!D"&amp;SUM(18,38*37,19))))</f>
        <v/>
      </c>
      <c r="BV38" s="215" t="str" cm="1">
        <f t="array" aca="1" ref="BV38" ca="1">IF($B38="","",IF(ISBLANK(INDIRECT("R9.Web!D"&amp;SUM(18,38*38,19))),"",INDIRECT("R9.Web!D"&amp;SUM(18,38*38,19))))</f>
        <v/>
      </c>
      <c r="BW38" s="215" t="str" cm="1">
        <f t="array" aca="1" ref="BW38" ca="1">IF($B38="","",IF(ISBLANK(INDIRECT("R9.Web!D"&amp;SUM(18,38*39,19))),"",INDIRECT("R9.Web!D"&amp;SUM(18,38*39,19))))</f>
        <v/>
      </c>
      <c r="BX38" s="215" t="str" cm="1">
        <f t="array" aca="1" ref="BX38" ca="1">IF($B38="","",IF(ISBLANK(INDIRECT("R9.Web!D"&amp;SUM(18,38*40,19))),"",INDIRECT("R9.Web!D"&amp;SUM(18,38*40,19))))</f>
        <v/>
      </c>
      <c r="BY38" s="215" t="str" cm="1">
        <f t="array" aca="1" ref="BY38" ca="1">IF($B38="","",IF(ISBLANK(INDIRECT("R9.Web!D"&amp;SUM(18,38*41,19))),"",INDIRECT("R9.Web!D"&amp;SUM(18,38*41,19))))</f>
        <v/>
      </c>
      <c r="BZ38" s="215" t="str" cm="1">
        <f t="array" aca="1" ref="BZ38" ca="1">IF($B38="","",IF(ISBLANK(INDIRECT("R9.Web!D"&amp;SUM(18,38*42,19))),"",INDIRECT("R9.Web!D"&amp;SUM(18,38*42,19))))</f>
        <v/>
      </c>
      <c r="CA38" s="215" t="str" cm="1">
        <f t="array" aca="1" ref="CA38" ca="1">IF($B38="","",IF(ISBLANK(INDIRECT("R9.Web!D"&amp;SUM(18,38*43,19))),"",INDIRECT("R9.Web!D"&amp;SUM(18,38*43,19))))</f>
        <v/>
      </c>
      <c r="CB38" s="215" t="str" cm="1">
        <f t="array" aca="1" ref="CB38" ca="1">IF($B38="","",IF(ISBLANK(INDIRECT("R9.Web!D"&amp;SUM(18,38*44,19))),"",INDIRECT("R9.Web!D"&amp;SUM(18,38*44,19))))</f>
        <v/>
      </c>
      <c r="CC38" s="215" t="str" cm="1">
        <f t="array" aca="1" ref="CC38" ca="1">IF($B38="","",IF(ISBLANK(INDIRECT("R9.Web!D"&amp;SUM(18,38*45,19))),"",INDIRECT("R9.Web!D"&amp;SUM(18,38*45,19))))</f>
        <v/>
      </c>
      <c r="CD38" s="215" t="str" cm="1">
        <f t="array" aca="1" ref="CD38" ca="1">IF($B38="","",IF(ISBLANK(INDIRECT("R9.Web!D"&amp;SUM(18,38*46,19))),"",INDIRECT("R9.Web!D"&amp;SUM(18,38*46,19))))</f>
        <v/>
      </c>
      <c r="CE38" s="215" t="str" cm="1">
        <f t="array" aca="1" ref="CE38" ca="1">IF($B38="","",IF(ISBLANK(INDIRECT("R9.Web!D"&amp;SUM(18,38*47,19))),"",INDIRECT("R9.Web!D"&amp;SUM(18,38*47,19))))</f>
        <v/>
      </c>
      <c r="CF38" s="215" t="str" cm="1">
        <f t="array" aca="1" ref="CF38" ca="1">IF($B38="","",IF(ISBLANK(INDIRECT("R9.Web!D"&amp;SUM(18,38*48,19))),"",INDIRECT("R9.Web!D"&amp;SUM(18,38*48,19))))</f>
        <v/>
      </c>
      <c r="CG38" s="215" t="str" cm="1">
        <f t="array" aca="1" ref="CG38" ca="1">IF($B38="","",IF(ISBLANK(INDIRECT("R9.Web!D"&amp;SUM(18,38*49,19))),"",INDIRECT("R9.Web!D"&amp;SUM(18,38*49,19))))</f>
        <v/>
      </c>
      <c r="CH38" s="215" t="str" cm="1">
        <f t="array" aca="1" ref="CH38" ca="1">IF($B38="","",IF(ISBLANK(INDIRECT("R11.Software!D"&amp;SUM(18,38*0,19))),"",INDIRECT("R11.Software!D"&amp;SUM(18,38*0,19))))</f>
        <v/>
      </c>
      <c r="CI38" s="215" t="str" cm="1">
        <f t="array" aca="1" ref="CI38" ca="1">IF($B38="","",IF(ISBLANK(INDIRECT("R11.Software!D"&amp;SUM(18,38*1,19))),"",INDIRECT("R11.Software!D"&amp;SUM(18,38*1,19))))</f>
        <v/>
      </c>
      <c r="CJ38" s="215" t="str" cm="1">
        <f t="array" aca="1" ref="CJ38" ca="1">IF($B38="","",IF(ISBLANK(INDIRECT("R11.Software!D"&amp;SUM(18,38*2,19))),"",INDIRECT("R11.Software!D"&amp;SUM(18,38*2,19))))</f>
        <v/>
      </c>
      <c r="CK38" s="215" t="str" cm="1">
        <f t="array" aca="1" ref="CK38" ca="1">IF($B38="","",IF(ISBLANK(INDIRECT("R11.Software!D"&amp;SUM(18,38*3,19))),"",INDIRECT("R11.Software!D"&amp;SUM(18,38*3,19))))</f>
        <v/>
      </c>
      <c r="CL38" s="215" t="str" cm="1">
        <f t="array" aca="1" ref="CL38" ca="1">IF($B38="","",IF(ISBLANK(INDIRECT("R11.Software!D"&amp;SUM(18,38*4,19))),"",INDIRECT("R11.Software!D"&amp;SUM(18,38*4,19))))</f>
        <v/>
      </c>
      <c r="CM38" s="215" t="str" cm="1">
        <f t="array" aca="1" ref="CM38" ca="1">IF($B38="","",IF(ISBLANK(INDIRECT("R11.Software!D"&amp;SUM(18,38*5,19))),"",INDIRECT("R11.Software!D"&amp;SUM(18,38*5,19))))</f>
        <v/>
      </c>
      <c r="CN38" s="215" t="str" cm="1">
        <f t="array" aca="1" ref="CN38" ca="1">IF($B38="","",IF(ISBLANK(INDIRECT("R12.ServiciosApoyo!D"&amp;SUM(18,38*0,19))),"",INDIRECT("R12.ServiciosApoyo!D"&amp;SUM(18,38*0,19))))</f>
        <v/>
      </c>
      <c r="CO38" s="215" t="str" cm="1">
        <f t="array" aca="1" ref="CO38" ca="1">IF($B38="","",IF(ISBLANK(INDIRECT("R12.ServiciosApoyo!D"&amp;SUM(18,38*1,19))),"",INDIRECT("R12.ServiciosApoyo!D"&amp;SUM(18,38*1,19))))</f>
        <v/>
      </c>
      <c r="CP38" s="215" t="str" cm="1">
        <f t="array" aca="1" ref="CP38" ca="1">IF($B38="","",IF(ISBLANK(INDIRECT("R12.ServiciosApoyo!D"&amp;SUM(18,38*2,19))),"",INDIRECT("R12.ServiciosApoyo!D"&amp;SUM(18,38*2,19))))</f>
        <v/>
      </c>
      <c r="CQ38" s="215" t="str" cm="1">
        <f t="array" aca="1" ref="CQ38" ca="1">IF($B38="","",IF(ISBLANK(INDIRECT("R12.ServiciosApoyo!D"&amp;SUM(18,38*3,19))),"",INDIRECT("R12.ServiciosApoyo!D"&amp;SUM(18,38*3,19))))</f>
        <v/>
      </c>
      <c r="CR38" s="215" t="str" cm="1">
        <f t="array" aca="1" ref="CR38" ca="1">IF($B38="","",IF(ISBLANK(INDIRECT("R12.ServiciosApoyo!D"&amp;SUM(18,38*4,19))),"",INDIRECT("R12.ServiciosApoyo!D"&amp;SUM(18,38*4,19))))</f>
        <v/>
      </c>
      <c r="CU38" s="100"/>
      <c r="CV38" s="29"/>
      <c r="CW38" s="29"/>
      <c r="CX38" s="29"/>
    </row>
    <row r="39" spans="2:102" ht="20.25">
      <c r="B39" s="181" t="str" cm="1">
        <f t="array" ref="B39">IFERROR(INDEX('03.Muestra'!$B$8:$B$42,SMALL(IF("Página Web"='03.Muestra'!$D$8:$D$42,ROW('03.Muestra'!$B$8:$B$42)-MIN(ROW('03.Muestra'!$D$8:$D$42))+1,""),ROW()-19)),"")</f>
        <v/>
      </c>
      <c r="C39" s="97" t="str" cm="1">
        <f t="array" ref="C39">IFERROR(INDEX('03.Muestra'!$C$8:$C$42,SMALL(IF("Página Web"='03.Muestra'!$D$8:$D$42,ROW('03.Muestra'!$C$8:$C$42)-MIN(ROW('03.Muestra'!$D$8:$D$42))+1,""),ROW()-19)),"")</f>
        <v/>
      </c>
      <c r="D39" s="98" t="str" cm="1">
        <f t="array" ref="D39">IFERROR(INDEX('03.Muestra'!$F$8:$F$42,SMALL(IF("Página Web"='03.Muestra'!$D$8:$D$42,ROW('03.Muestra'!$F$8:$F$42)-MIN(ROW('03.Muestra'!$D$8:$D$42))+1,""),ROW()-19)),"")</f>
        <v/>
      </c>
      <c r="E39" s="215" t="str" cm="1">
        <f t="array" aca="1" ref="E39" ca="1">IF($B39="","",IF(ISBLANK(INDIRECT("R5.Genéricos!D"&amp;SUM(18,38*0,20))),"",INDIRECT("R5.Genéricos!D"&amp;SUM(18,38*0,20))))</f>
        <v/>
      </c>
      <c r="F39" s="215" t="str" cm="1">
        <f t="array" aca="1" ref="F39" ca="1">IF($B39="","",IF(ISBLANK(INDIRECT("R5.Genéricos!D"&amp;SUM(18,38*1,20))),"",INDIRECT("R5.Genéricos!D"&amp;SUM(18,38*1,20))))</f>
        <v/>
      </c>
      <c r="G39" s="215" t="str" cm="1">
        <f t="array" aca="1" ref="G39" ca="1">IF($B39="","",IF(ISBLANK(INDIRECT("R5.Genéricos!D"&amp;SUM(18,38*2,20))),"",INDIRECT("R5.Genéricos!D"&amp;SUM(18,38*2,20))))</f>
        <v/>
      </c>
      <c r="H39" s="215" t="str" cm="1">
        <f t="array" aca="1" ref="H39" ca="1">IF($B39="","",IF(ISBLANK(INDIRECT("R6.Voz!D"&amp;SUM(18,38*0,20))),"",INDIRECT("R6.Voz!D"&amp;SUM(18,38*0,20))))</f>
        <v/>
      </c>
      <c r="I39" s="215" t="str" cm="1">
        <f t="array" aca="1" ref="I39" ca="1">IF($B39="","",IF(ISBLANK(INDIRECT("R6.Voz!D"&amp;SUM(18,38*1,20))),"",INDIRECT("R6.Voz!D"&amp;SUM(18,38*1,20))))</f>
        <v/>
      </c>
      <c r="J39" s="215" t="str" cm="1">
        <f t="array" aca="1" ref="J39" ca="1">IF($B39="","",IF(ISBLANK(INDIRECT("R6.Voz!D"&amp;SUM(18,38*2,20))),"",INDIRECT("R6.Voz!D"&amp;SUM(18,38*2,20))))</f>
        <v/>
      </c>
      <c r="K39" s="215" t="str" cm="1">
        <f t="array" aca="1" ref="K39" ca="1">IF($B39="","",IF(ISBLANK(INDIRECT("R6.Voz!D"&amp;SUM(18,38*3,20))),"",INDIRECT("R6.Voz!D"&amp;SUM(18,38*3,20))))</f>
        <v/>
      </c>
      <c r="L39" s="215" t="str" cm="1">
        <f t="array" aca="1" ref="L39" ca="1">IF($B39="","",IF(ISBLANK(INDIRECT("R6.Voz!D"&amp;SUM(18,38*4,20))),"",INDIRECT("R6.Voz!D"&amp;SUM(18,38*4,20))))</f>
        <v/>
      </c>
      <c r="M39" s="215" t="str" cm="1">
        <f t="array" aca="1" ref="M39" ca="1">IF($B39="","",IF(ISBLANK(INDIRECT("R6.Voz!D"&amp;SUM(18,38*5,20))),"",INDIRECT("R6.Voz!D"&amp;SUM(18,38*5,20))))</f>
        <v/>
      </c>
      <c r="N39" s="215" t="str" cm="1">
        <f t="array" aca="1" ref="N39" ca="1">IF($B39="","",IF(ISBLANK(INDIRECT("R6.Voz!D"&amp;SUM(18,38*6,20))),"",INDIRECT("R6.Voz!D"&amp;SUM(18,38*6,20))))</f>
        <v/>
      </c>
      <c r="O39" s="215" t="str" cm="1">
        <f t="array" aca="1" ref="O39" ca="1">IF($B39="","",IF(ISBLANK(INDIRECT("R6.Voz!D"&amp;SUM(18,38*7,20))),"",INDIRECT("R6.Voz!D"&amp;SUM(18,38*7,20))))</f>
        <v/>
      </c>
      <c r="P39" s="215" t="str" cm="1">
        <f t="array" aca="1" ref="P39" ca="1">IF($B39="","",IF(ISBLANK(INDIRECT("R6.Voz!D"&amp;SUM(18,38*8,20))),"",INDIRECT("R6.Voz!D"&amp;SUM(18,38*8,20))))</f>
        <v/>
      </c>
      <c r="Q39" s="215" t="str" cm="1">
        <f t="array" aca="1" ref="Q39" ca="1">IF($B39="","",IF(ISBLANK(INDIRECT("R6.Voz!D"&amp;SUM(18,38*9,20))),"",INDIRECT("R6.Voz!D"&amp;SUM(18,38*9,20))))</f>
        <v/>
      </c>
      <c r="R39" s="215" t="str" cm="1">
        <f t="array" aca="1" ref="R39" ca="1">IF($B39="","",IF(ISBLANK(INDIRECT("R6.Voz!D"&amp;SUM(18,38*10,20))),"",INDIRECT("R6.Voz!D"&amp;SUM(18,38*10,20))))</f>
        <v/>
      </c>
      <c r="S39" s="215" t="str" cm="1">
        <f t="array" aca="1" ref="S39" ca="1">IF($B39="","",IF(ISBLANK(INDIRECT("R6.Voz!D"&amp;SUM(18,38*11,20))),"",INDIRECT("R6.Voz!D"&amp;SUM(18,38*11,20))))</f>
        <v/>
      </c>
      <c r="T39" s="215" t="str" cm="1">
        <f t="array" aca="1" ref="T39" ca="1">IF($B39="","",IF(ISBLANK(INDIRECT("R6.Voz!D"&amp;SUM(18,38*12,20))),"",INDIRECT("R6.Voz!D"&amp;SUM(18,38*12,20))))</f>
        <v/>
      </c>
      <c r="U39" s="215" t="str" cm="1">
        <f t="array" aca="1" ref="U39" ca="1">IF($B39="","",IF(ISBLANK(INDIRECT("R6.Voz!D"&amp;SUM(18,38*13,20))),"",INDIRECT("R6.Voz!D"&amp;SUM(18,38*13,20))))</f>
        <v/>
      </c>
      <c r="V39" s="215" t="str" cm="1">
        <f t="array" aca="1" ref="V39" ca="1">IF($B39="","",IF(ISBLANK(INDIRECT("R6.Voz!D"&amp;SUM(18,38*14,20))),"",INDIRECT("R6.Voz!D"&amp;SUM(18,38*14,20))))</f>
        <v/>
      </c>
      <c r="W39" s="215" t="str" cm="1">
        <f t="array" aca="1" ref="W39" ca="1">IF($B39="","",IF(ISBLANK(INDIRECT("R6.Voz!D"&amp;SUM(18,38*15,20))),"",INDIRECT("R6.Voz!D"&amp;SUM(18,38*15,20))))</f>
        <v/>
      </c>
      <c r="X39" s="215" t="str" cm="1">
        <f t="array" aca="1" ref="X39" ca="1">IF($B39="","",IF(ISBLANK(INDIRECT("R6.Voz!D"&amp;SUM(18,38*16,20))),"",INDIRECT("R6.Voz!D"&amp;SUM(18,38*16,20))))</f>
        <v/>
      </c>
      <c r="Y39" s="215" t="str" cm="1">
        <f t="array" aca="1" ref="Y39" ca="1">IF($B39="","",IF(ISBLANK(INDIRECT("R6.Voz!D"&amp;SUM(18,38*17,20))),"",INDIRECT("R6.Voz!D"&amp;SUM(18,38*17,20))))</f>
        <v/>
      </c>
      <c r="Z39" s="215" t="str" cm="1">
        <f t="array" aca="1" ref="Z39" ca="1">IF($B39="","",IF(ISBLANK(INDIRECT("R6.Voz!D"&amp;SUM(18,38*18,20))),"",INDIRECT("R6.Voz!D"&amp;SUM(18,38*18,20))))</f>
        <v/>
      </c>
      <c r="AA39" s="215" t="str" cm="1">
        <f t="array" aca="1" ref="AA39" ca="1">IF($B39="","",IF(ISBLANK(INDIRECT("R7.Video!D"&amp;SUM(18,38*0,20))),"",INDIRECT("R7.Video!D"&amp;SUM(18,38*0,20))))</f>
        <v/>
      </c>
      <c r="AB39" s="215" t="str" cm="1">
        <f t="array" aca="1" ref="AB39" ca="1">IF($B39="","",IF(ISBLANK(INDIRECT("R7.Video!D"&amp;SUM(18,38*1,20))),"",INDIRECT("R7.Video!D"&amp;SUM(18,38*1,20))))</f>
        <v/>
      </c>
      <c r="AC39" s="215" t="str" cm="1">
        <f t="array" aca="1" ref="AC39" ca="1">IF($B39="","",IF(ISBLANK(INDIRECT("R7.Video!D"&amp;SUM(18,38*2,20))),"",INDIRECT("R7.Video!D"&amp;SUM(18,38*2,20))))</f>
        <v/>
      </c>
      <c r="AD39" s="215" t="str" cm="1">
        <f t="array" aca="1" ref="AD39" ca="1">IF($B39="","",IF(ISBLANK(INDIRECT("R7.Video!D"&amp;SUM(18,38*3,20))),"",INDIRECT("R7.Video!D"&amp;SUM(18,38*3,20))))</f>
        <v/>
      </c>
      <c r="AE39" s="215" t="str" cm="1">
        <f t="array" aca="1" ref="AE39" ca="1">IF($B39="","",IF(ISBLANK(INDIRECT("R7.Video!D"&amp;SUM(18,38*4,20))),"",INDIRECT("R7.Video!D"&amp;SUM(18,38*4,20))))</f>
        <v/>
      </c>
      <c r="AF39" s="215" t="str" cm="1">
        <f t="array" aca="1" ref="AF39" ca="1">IF($B39="","",IF(ISBLANK(INDIRECT("R7.Video!D"&amp;SUM(18,38*5,20))),"",INDIRECT("R7.Video!D"&amp;SUM(18,38*5,20))))</f>
        <v/>
      </c>
      <c r="AG39" s="215" t="str" cm="1">
        <f t="array" aca="1" ref="AG39" ca="1">IF($B39="","",IF(ISBLANK(INDIRECT("R7.Video!D"&amp;SUM(18,38*6,20))),"",INDIRECT("R7.Video!D"&amp;SUM(18,38*6,20))))</f>
        <v/>
      </c>
      <c r="AH39" s="215" t="str" cm="1">
        <f t="array" aca="1" ref="AH39" ca="1">IF($B39="","",IF(ISBLANK(INDIRECT("R7.Video!D"&amp;SUM(18,38*7,20))),"",INDIRECT("R7.Video!D"&amp;SUM(18,38*7,20))))</f>
        <v/>
      </c>
      <c r="AI39" s="215" t="str" cm="1">
        <f t="array" aca="1" ref="AI39" ca="1">IF($B39="","",IF(ISBLANK(INDIRECT("R7.Video!D"&amp;SUM(18,38*8,20))),"",INDIRECT("R7.Video!D"&amp;SUM(18,38*8,20))))</f>
        <v/>
      </c>
      <c r="AJ39" s="215" t="str" cm="1">
        <f t="array" aca="1" ref="AJ39" ca="1">IF($B39="","",IF(ISBLANK(INDIRECT("R9.Web!D"&amp;SUM(18,38*0,20))),"",INDIRECT("R9.Web!D"&amp;SUM(18,38*0,20))))</f>
        <v/>
      </c>
      <c r="AK39" s="215" t="str" cm="1">
        <f t="array" aca="1" ref="AK39" ca="1">IF($B39="","",IF(ISBLANK(INDIRECT("R9.Web!D"&amp;SUM(18,38*1,20))),"",INDIRECT("R9.Web!D"&amp;SUM(18,38*1,20))))</f>
        <v/>
      </c>
      <c r="AL39" s="215" t="str" cm="1">
        <f t="array" aca="1" ref="AL39" ca="1">IF($B39="","",IF(ISBLANK(INDIRECT("R9.Web!D"&amp;SUM(18,38*2,20))),"",INDIRECT("R9.Web!D"&amp;SUM(18,38*2,20))))</f>
        <v/>
      </c>
      <c r="AM39" s="215" t="str" cm="1">
        <f t="array" aca="1" ref="AM39" ca="1">IF($B39="","",IF(ISBLANK(INDIRECT("R9.Web!D"&amp;SUM(18,38*3,20))),"",INDIRECT("R9.Web!D"&amp;SUM(18,38*3,20))))</f>
        <v/>
      </c>
      <c r="AN39" s="215" t="str" cm="1">
        <f t="array" aca="1" ref="AN39" ca="1">IF($B39="","",IF(ISBLANK(INDIRECT("R9.Web!D"&amp;SUM(18,38*4,20))),"",INDIRECT("R9.Web!D"&amp;SUM(18,38*4,20))))</f>
        <v/>
      </c>
      <c r="AO39" s="215" t="str" cm="1">
        <f t="array" aca="1" ref="AO39" ca="1">IF($B39="","",IF(ISBLANK(INDIRECT("R9.Web!D"&amp;SUM(18,38*5,20))),"",INDIRECT("R9.Web!D"&amp;SUM(18,38*5,20))))</f>
        <v/>
      </c>
      <c r="AP39" s="215" t="str" cm="1">
        <f t="array" aca="1" ref="AP39" ca="1">IF($B39="","",IF(ISBLANK(INDIRECT("R9.Web!D"&amp;SUM(18,38*6,20))),"",INDIRECT("R9.Web!D"&amp;SUM(18,38*6,20))))</f>
        <v/>
      </c>
      <c r="AQ39" s="215" t="str" cm="1">
        <f t="array" aca="1" ref="AQ39" ca="1">IF($B39="","",IF(ISBLANK(INDIRECT("R9.Web!D"&amp;SUM(18,38*7,20))),"",INDIRECT("R9.Web!D"&amp;SUM(18,38*7,20))))</f>
        <v/>
      </c>
      <c r="AR39" s="215" t="str" cm="1">
        <f t="array" aca="1" ref="AR39" ca="1">IF($B39="","",IF(ISBLANK(INDIRECT("R9.Web!D"&amp;SUM(18,38*8,20))),"",INDIRECT("R9.Web!D"&amp;SUM(18,38*8,20))))</f>
        <v/>
      </c>
      <c r="AS39" s="215" t="str" cm="1">
        <f t="array" aca="1" ref="AS39" ca="1">IF($B39="","",IF(ISBLANK(INDIRECT("R9.Web!D"&amp;SUM(18,38*9,20))),"",INDIRECT("R9.Web!D"&amp;SUM(18,38*9,20))))</f>
        <v/>
      </c>
      <c r="AT39" s="215" t="str" cm="1">
        <f t="array" aca="1" ref="AT39" ca="1">IF($B39="","",IF(ISBLANK(INDIRECT("R9.Web!D"&amp;SUM(18,38*10,20))),"",INDIRECT("R9.Web!D"&amp;SUM(18,38*10,20))))</f>
        <v/>
      </c>
      <c r="AU39" s="215" t="str" cm="1">
        <f t="array" aca="1" ref="AU39" ca="1">IF($B39="","",IF(ISBLANK(INDIRECT("R9.Web!D"&amp;SUM(18,38*11,20))),"",INDIRECT("R9.Web!D"&amp;SUM(18,38*11,20))))</f>
        <v/>
      </c>
      <c r="AV39" s="215" t="str" cm="1">
        <f t="array" aca="1" ref="AV39" ca="1">IF($B39="","",IF(ISBLANK(INDIRECT("R9.Web!D"&amp;SUM(18,38*12,20))),"",INDIRECT("R9.Web!D"&amp;SUM(18,38*12,20))))</f>
        <v/>
      </c>
      <c r="AW39" s="215" t="str" cm="1">
        <f t="array" aca="1" ref="AW39" ca="1">IF($B39="","",IF(ISBLANK(INDIRECT("R9.Web!D"&amp;SUM(18,38*13,20))),"",INDIRECT("R9.Web!D"&amp;SUM(18,38*13,20))))</f>
        <v/>
      </c>
      <c r="AX39" s="215" t="str" cm="1">
        <f t="array" aca="1" ref="AX39" ca="1">IF($B39="","",IF(ISBLANK(INDIRECT("R9.Web!D"&amp;SUM(18,38*14,20))),"",INDIRECT("R9.Web!D"&amp;SUM(18,38*14,20))))</f>
        <v/>
      </c>
      <c r="AY39" s="215" t="str" cm="1">
        <f t="array" aca="1" ref="AY39" ca="1">IF($B39="","",IF(ISBLANK(INDIRECT("R9.Web!D"&amp;SUM(18,38*15,20))),"",INDIRECT("R9.Web!D"&amp;SUM(18,38*15,20))))</f>
        <v/>
      </c>
      <c r="AZ39" s="215" t="str" cm="1">
        <f t="array" aca="1" ref="AZ39" ca="1">IF($B39="","",IF(ISBLANK(INDIRECT("R9.Web!D"&amp;SUM(18,38*16,20))),"",INDIRECT("R9.Web!D"&amp;SUM(18,38*16,20))))</f>
        <v/>
      </c>
      <c r="BA39" s="215" t="str" cm="1">
        <f t="array" aca="1" ref="BA39" ca="1">IF($B39="","",IF(ISBLANK(INDIRECT("R9.Web!D"&amp;SUM(18,38*17,20))),"",INDIRECT("R9.Web!D"&amp;SUM(18,38*17,20))))</f>
        <v/>
      </c>
      <c r="BB39" s="215" t="str" cm="1">
        <f t="array" aca="1" ref="BB39" ca="1">IF($B39="","",IF(ISBLANK(INDIRECT("R9.Web!D"&amp;SUM(18,38*18,20))),"",INDIRECT("R9.Web!D"&amp;SUM(18,38*18,20))))</f>
        <v/>
      </c>
      <c r="BC39" s="215" t="str" cm="1">
        <f t="array" aca="1" ref="BC39" ca="1">IF($B39="","",IF(ISBLANK(INDIRECT("R9.Web!D"&amp;SUM(18,38*19,20))),"",INDIRECT("R9.Web!D"&amp;SUM(18,38*19,20))))</f>
        <v/>
      </c>
      <c r="BD39" s="215" t="str" cm="1">
        <f t="array" aca="1" ref="BD39" ca="1">IF($B39="","",IF(ISBLANK(INDIRECT("R9.Web!D"&amp;SUM(18,38*20,20))),"",INDIRECT("R9.Web!D"&amp;SUM(18,38*20,20))))</f>
        <v/>
      </c>
      <c r="BE39" s="215" t="str" cm="1">
        <f t="array" aca="1" ref="BE39" ca="1">IF($B39="","",IF(ISBLANK(INDIRECT("R9.Web!D"&amp;SUM(18,38*21,20))),"",INDIRECT("R9.Web!D"&amp;SUM(18,38*21,20))))</f>
        <v/>
      </c>
      <c r="BF39" s="215" t="str" cm="1">
        <f t="array" aca="1" ref="BF39" ca="1">IF($B39="","",IF(ISBLANK(INDIRECT("R9.Web!D"&amp;SUM(18,38*22,20))),"",INDIRECT("R9.Web!D"&amp;SUM(18,38*22,20))))</f>
        <v/>
      </c>
      <c r="BG39" s="215" t="str" cm="1">
        <f t="array" aca="1" ref="BG39" ca="1">IF($B39="","",IF(ISBLANK(INDIRECT("R9.Web!D"&amp;SUM(18,38*23,20))),"",INDIRECT("R9.Web!D"&amp;SUM(18,38*23,20))))</f>
        <v/>
      </c>
      <c r="BH39" s="215" t="str" cm="1">
        <f t="array" aca="1" ref="BH39" ca="1">IF($B39="","",IF(ISBLANK(INDIRECT("R9.Web!D"&amp;SUM(18,38*24,20))),"",INDIRECT("R9.Web!D"&amp;SUM(18,38*24,20))))</f>
        <v/>
      </c>
      <c r="BI39" s="215" t="str" cm="1">
        <f t="array" aca="1" ref="BI39" ca="1">IF($B39="","",IF(ISBLANK(INDIRECT("R9.Web!D"&amp;SUM(18,38*25,20))),"",INDIRECT("R9.Web!D"&amp;SUM(18,38*25,20))))</f>
        <v/>
      </c>
      <c r="BJ39" s="215" t="str" cm="1">
        <f t="array" aca="1" ref="BJ39" ca="1">IF($B39="","",IF(ISBLANK(INDIRECT("R9.Web!D"&amp;SUM(18,38*26,20))),"",INDIRECT("R9.Web!D"&amp;SUM(18,38*26,20))))</f>
        <v/>
      </c>
      <c r="BK39" s="215" t="str" cm="1">
        <f t="array" aca="1" ref="BK39" ca="1">IF($B39="","",IF(ISBLANK(INDIRECT("R9.Web!D"&amp;SUM(18,38*27,20))),"",INDIRECT("R9.Web!D"&amp;SUM(18,38*27,20))))</f>
        <v/>
      </c>
      <c r="BL39" s="215" t="str" cm="1">
        <f t="array" aca="1" ref="BL39" ca="1">IF($B39="","",IF(ISBLANK(INDIRECT("R9.Web!D"&amp;SUM(18,38*28,20))),"",INDIRECT("R9.Web!D"&amp;SUM(18,38*28,20))))</f>
        <v/>
      </c>
      <c r="BM39" s="215" t="str" cm="1">
        <f t="array" aca="1" ref="BM39" ca="1">IF($B39="","",IF(ISBLANK(INDIRECT("R9.Web!D"&amp;SUM(18,38*29,20))),"",INDIRECT("R9.Web!D"&amp;SUM(18,38*29,20))))</f>
        <v/>
      </c>
      <c r="BN39" s="215" t="str" cm="1">
        <f t="array" aca="1" ref="BN39" ca="1">IF($B39="","",IF(ISBLANK(INDIRECT("R9.Web!D"&amp;SUM(18,38*30,20))),"",INDIRECT("R9.Web!D"&amp;SUM(18,38*30,20))))</f>
        <v/>
      </c>
      <c r="BO39" s="215" t="str" cm="1">
        <f t="array" aca="1" ref="BO39" ca="1">IF($B39="","",IF(ISBLANK(INDIRECT("R9.Web!D"&amp;SUM(18,38*31,20))),"",INDIRECT("R9.Web!D"&amp;SUM(18,38*31,20))))</f>
        <v/>
      </c>
      <c r="BP39" s="215" t="str" cm="1">
        <f t="array" aca="1" ref="BP39" ca="1">IF($B39="","",IF(ISBLANK(INDIRECT("R9.Web!D"&amp;SUM(18,38*32,20))),"",INDIRECT("R9.Web!D"&amp;SUM(18,38*32,20))))</f>
        <v/>
      </c>
      <c r="BQ39" s="215" t="str" cm="1">
        <f t="array" aca="1" ref="BQ39" ca="1">IF($B39="","",IF(ISBLANK(INDIRECT("R9.Web!D"&amp;SUM(18,38*33,20))),"",INDIRECT("R9.Web!D"&amp;SUM(18,38*33,20))))</f>
        <v/>
      </c>
      <c r="BR39" s="215" t="str" cm="1">
        <f t="array" aca="1" ref="BR39" ca="1">IF($B39="","",IF(ISBLANK(INDIRECT("R9.Web!D"&amp;SUM(18,38*34,20))),"",INDIRECT("R9.Web!D"&amp;SUM(18,38*34,20))))</f>
        <v/>
      </c>
      <c r="BS39" s="215" t="str" cm="1">
        <f t="array" aca="1" ref="BS39" ca="1">IF($B39="","",IF(ISBLANK(INDIRECT("R9.Web!D"&amp;SUM(18,38*35,20))),"",INDIRECT("R9.Web!D"&amp;SUM(18,38*35,20))))</f>
        <v/>
      </c>
      <c r="BT39" s="215" t="str" cm="1">
        <f t="array" aca="1" ref="BT39" ca="1">IF($B39="","",IF(ISBLANK(INDIRECT("R9.Web!D"&amp;SUM(18,38*36,20))),"",INDIRECT("R9.Web!D"&amp;SUM(18,38*36,20))))</f>
        <v/>
      </c>
      <c r="BU39" s="215" t="str" cm="1">
        <f t="array" aca="1" ref="BU39" ca="1">IF($B39="","",IF(ISBLANK(INDIRECT("R9.Web!D"&amp;SUM(18,38*37,20))),"",INDIRECT("R9.Web!D"&amp;SUM(18,38*37,20))))</f>
        <v/>
      </c>
      <c r="BV39" s="215" t="str" cm="1">
        <f t="array" aca="1" ref="BV39" ca="1">IF($B39="","",IF(ISBLANK(INDIRECT("R9.Web!D"&amp;SUM(18,38*38,20))),"",INDIRECT("R9.Web!D"&amp;SUM(18,38*38,20))))</f>
        <v/>
      </c>
      <c r="BW39" s="215" t="str" cm="1">
        <f t="array" aca="1" ref="BW39" ca="1">IF($B39="","",IF(ISBLANK(INDIRECT("R9.Web!D"&amp;SUM(18,38*39,20))),"",INDIRECT("R9.Web!D"&amp;SUM(18,38*39,20))))</f>
        <v/>
      </c>
      <c r="BX39" s="215" t="str" cm="1">
        <f t="array" aca="1" ref="BX39" ca="1">IF($B39="","",IF(ISBLANK(INDIRECT("R9.Web!D"&amp;SUM(18,38*40,20))),"",INDIRECT("R9.Web!D"&amp;SUM(18,38*40,20))))</f>
        <v/>
      </c>
      <c r="BY39" s="215" t="str" cm="1">
        <f t="array" aca="1" ref="BY39" ca="1">IF($B39="","",IF(ISBLANK(INDIRECT("R9.Web!D"&amp;SUM(18,38*41,20))),"",INDIRECT("R9.Web!D"&amp;SUM(18,38*41,20))))</f>
        <v/>
      </c>
      <c r="BZ39" s="215" t="str" cm="1">
        <f t="array" aca="1" ref="BZ39" ca="1">IF($B39="","",IF(ISBLANK(INDIRECT("R9.Web!D"&amp;SUM(18,38*42,20))),"",INDIRECT("R9.Web!D"&amp;SUM(18,38*42,20))))</f>
        <v/>
      </c>
      <c r="CA39" s="215" t="str" cm="1">
        <f t="array" aca="1" ref="CA39" ca="1">IF($B39="","",IF(ISBLANK(INDIRECT("R9.Web!D"&amp;SUM(18,38*43,20))),"",INDIRECT("R9.Web!D"&amp;SUM(18,38*43,20))))</f>
        <v/>
      </c>
      <c r="CB39" s="215" t="str" cm="1">
        <f t="array" aca="1" ref="CB39" ca="1">IF($B39="","",IF(ISBLANK(INDIRECT("R9.Web!D"&amp;SUM(18,38*44,20))),"",INDIRECT("R9.Web!D"&amp;SUM(18,38*44,20))))</f>
        <v/>
      </c>
      <c r="CC39" s="215" t="str" cm="1">
        <f t="array" aca="1" ref="CC39" ca="1">IF($B39="","",IF(ISBLANK(INDIRECT("R9.Web!D"&amp;SUM(18,38*45,20))),"",INDIRECT("R9.Web!D"&amp;SUM(18,38*45,20))))</f>
        <v/>
      </c>
      <c r="CD39" s="215" t="str" cm="1">
        <f t="array" aca="1" ref="CD39" ca="1">IF($B39="","",IF(ISBLANK(INDIRECT("R9.Web!D"&amp;SUM(18,38*46,20))),"",INDIRECT("R9.Web!D"&amp;SUM(18,38*46,20))))</f>
        <v/>
      </c>
      <c r="CE39" s="215" t="str" cm="1">
        <f t="array" aca="1" ref="CE39" ca="1">IF($B39="","",IF(ISBLANK(INDIRECT("R9.Web!D"&amp;SUM(18,38*47,20))),"",INDIRECT("R9.Web!D"&amp;SUM(18,38*47,20))))</f>
        <v/>
      </c>
      <c r="CF39" s="215" t="str" cm="1">
        <f t="array" aca="1" ref="CF39" ca="1">IF($B39="","",IF(ISBLANK(INDIRECT("R9.Web!D"&amp;SUM(18,38*48,20))),"",INDIRECT("R9.Web!D"&amp;SUM(18,38*48,20))))</f>
        <v/>
      </c>
      <c r="CG39" s="215" t="str" cm="1">
        <f t="array" aca="1" ref="CG39" ca="1">IF($B39="","",IF(ISBLANK(INDIRECT("R9.Web!D"&amp;SUM(18,38*49,20))),"",INDIRECT("R9.Web!D"&amp;SUM(18,38*49,20))))</f>
        <v/>
      </c>
      <c r="CH39" s="215" t="str" cm="1">
        <f t="array" aca="1" ref="CH39" ca="1">IF($B39="","",IF(ISBLANK(INDIRECT("R11.Software!D"&amp;SUM(18,38*0,20))),"",INDIRECT("R11.Software!D"&amp;SUM(18,38*0,20))))</f>
        <v/>
      </c>
      <c r="CI39" s="215" t="str" cm="1">
        <f t="array" aca="1" ref="CI39" ca="1">IF($B39="","",IF(ISBLANK(INDIRECT("R11.Software!D"&amp;SUM(18,38*1,20))),"",INDIRECT("R11.Software!D"&amp;SUM(18,38*1,20))))</f>
        <v/>
      </c>
      <c r="CJ39" s="215" t="str" cm="1">
        <f t="array" aca="1" ref="CJ39" ca="1">IF($B39="","",IF(ISBLANK(INDIRECT("R11.Software!D"&amp;SUM(18,38*2,20))),"",INDIRECT("R11.Software!D"&amp;SUM(18,38*2,20))))</f>
        <v/>
      </c>
      <c r="CK39" s="215" t="str" cm="1">
        <f t="array" aca="1" ref="CK39" ca="1">IF($B39="","",IF(ISBLANK(INDIRECT("R11.Software!D"&amp;SUM(18,38*3,20))),"",INDIRECT("R11.Software!D"&amp;SUM(18,38*3,20))))</f>
        <v/>
      </c>
      <c r="CL39" s="215" t="str" cm="1">
        <f t="array" aca="1" ref="CL39" ca="1">IF($B39="","",IF(ISBLANK(INDIRECT("R11.Software!D"&amp;SUM(18,38*4,20))),"",INDIRECT("R11.Software!D"&amp;SUM(18,38*4,20))))</f>
        <v/>
      </c>
      <c r="CM39" s="215" t="str" cm="1">
        <f t="array" aca="1" ref="CM39" ca="1">IF($B39="","",IF(ISBLANK(INDIRECT("R11.Software!D"&amp;SUM(18,38*5,20))),"",INDIRECT("R11.Software!D"&amp;SUM(18,38*5,20))))</f>
        <v/>
      </c>
      <c r="CN39" s="215" t="str" cm="1">
        <f t="array" aca="1" ref="CN39" ca="1">IF($B39="","",IF(ISBLANK(INDIRECT("R12.ServiciosApoyo!D"&amp;SUM(18,38*0,20))),"",INDIRECT("R12.ServiciosApoyo!D"&amp;SUM(18,38*0,20))))</f>
        <v/>
      </c>
      <c r="CO39" s="215" t="str" cm="1">
        <f t="array" aca="1" ref="CO39" ca="1">IF($B39="","",IF(ISBLANK(INDIRECT("R12.ServiciosApoyo!D"&amp;SUM(18,38*1,20))),"",INDIRECT("R12.ServiciosApoyo!D"&amp;SUM(18,38*1,20))))</f>
        <v/>
      </c>
      <c r="CP39" s="215" t="str" cm="1">
        <f t="array" aca="1" ref="CP39" ca="1">IF($B39="","",IF(ISBLANK(INDIRECT("R12.ServiciosApoyo!D"&amp;SUM(18,38*2,20))),"",INDIRECT("R12.ServiciosApoyo!D"&amp;SUM(18,38*2,20))))</f>
        <v/>
      </c>
      <c r="CQ39" s="215" t="str" cm="1">
        <f t="array" aca="1" ref="CQ39" ca="1">IF($B39="","",IF(ISBLANK(INDIRECT("R12.ServiciosApoyo!D"&amp;SUM(18,38*3,20))),"",INDIRECT("R12.ServiciosApoyo!D"&amp;SUM(18,38*3,20))))</f>
        <v/>
      </c>
      <c r="CR39" s="215" t="str" cm="1">
        <f t="array" aca="1" ref="CR39" ca="1">IF($B39="","",IF(ISBLANK(INDIRECT("R12.ServiciosApoyo!D"&amp;SUM(18,38*4,20))),"",INDIRECT("R12.ServiciosApoyo!D"&amp;SUM(18,38*4,20))))</f>
        <v/>
      </c>
      <c r="CU39" s="100"/>
      <c r="CV39" s="29"/>
      <c r="CW39" s="29"/>
      <c r="CX39" s="29"/>
    </row>
    <row r="40" spans="2:102" ht="20.2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2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2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2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2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2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2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2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2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2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2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2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2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2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2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361</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CONFORME</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N/A</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NO 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2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74" t="s">
        <v>154</v>
      </c>
      <c r="C58" s="274"/>
      <c r="D58" s="274"/>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68" t="s">
        <v>50</v>
      </c>
      <c r="C59" s="269"/>
      <c r="D59" s="270"/>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268</v>
      </c>
      <c r="C60" s="96" t="s">
        <v>129</v>
      </c>
      <c r="D60" s="96" t="s">
        <v>362</v>
      </c>
      <c r="E60" s="96" t="s">
        <v>197</v>
      </c>
      <c r="F60" s="96" t="s">
        <v>198</v>
      </c>
      <c r="G60" s="96" t="s">
        <v>199</v>
      </c>
      <c r="H60" s="96" t="s">
        <v>200</v>
      </c>
      <c r="I60" s="96" t="s">
        <v>201</v>
      </c>
      <c r="J60" s="96" t="s">
        <v>202</v>
      </c>
      <c r="K60" s="96" t="s">
        <v>203</v>
      </c>
      <c r="L60" s="96" t="s">
        <v>204</v>
      </c>
      <c r="M60" s="96" t="s">
        <v>205</v>
      </c>
      <c r="N60" s="96" t="s">
        <v>206</v>
      </c>
      <c r="O60" s="96" t="s">
        <v>207</v>
      </c>
      <c r="P60" s="96" t="s">
        <v>208</v>
      </c>
      <c r="Q60" s="96" t="s">
        <v>209</v>
      </c>
      <c r="R60" s="96" t="s">
        <v>210</v>
      </c>
      <c r="S60" s="96" t="s">
        <v>211</v>
      </c>
      <c r="T60" s="96" t="s">
        <v>212</v>
      </c>
      <c r="U60" s="96" t="s">
        <v>213</v>
      </c>
      <c r="V60" s="96" t="s">
        <v>214</v>
      </c>
      <c r="W60" s="96" t="s">
        <v>215</v>
      </c>
      <c r="X60" s="96" t="s">
        <v>216</v>
      </c>
      <c r="Y60" s="96" t="s">
        <v>217</v>
      </c>
      <c r="Z60" s="96" t="s">
        <v>218</v>
      </c>
      <c r="AA60" s="96" t="s">
        <v>219</v>
      </c>
      <c r="AB60" s="96" t="s">
        <v>220</v>
      </c>
      <c r="AC60" s="96" t="s">
        <v>221</v>
      </c>
      <c r="AD60" s="96" t="s">
        <v>240</v>
      </c>
      <c r="AE60" s="96" t="s">
        <v>222</v>
      </c>
      <c r="AF60" s="96" t="s">
        <v>223</v>
      </c>
      <c r="AG60" s="96" t="s">
        <v>224</v>
      </c>
      <c r="AH60" s="96" t="s">
        <v>225</v>
      </c>
      <c r="AI60" s="96" t="s">
        <v>226</v>
      </c>
      <c r="AJ60" s="96" t="s">
        <v>227</v>
      </c>
      <c r="AK60" s="96" t="s">
        <v>228</v>
      </c>
      <c r="AL60" s="96" t="s">
        <v>229</v>
      </c>
      <c r="AM60" s="96" t="s">
        <v>230</v>
      </c>
      <c r="AN60" s="96" t="s">
        <v>239</v>
      </c>
      <c r="AO60" s="96" t="s">
        <v>231</v>
      </c>
      <c r="AP60" s="96" t="s">
        <v>232</v>
      </c>
      <c r="AQ60" s="96" t="s">
        <v>233</v>
      </c>
      <c r="AR60" s="96" t="s">
        <v>234</v>
      </c>
      <c r="AS60" s="96" t="s">
        <v>235</v>
      </c>
      <c r="AT60" s="96" t="s">
        <v>236</v>
      </c>
      <c r="AU60" s="96" t="s">
        <v>237</v>
      </c>
      <c r="AV60" s="96" t="s">
        <v>238</v>
      </c>
      <c r="AW60" s="96" t="s">
        <v>351</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154</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BL8"/>
  <sheetViews>
    <sheetView zoomScale="90" zoomScaleNormal="90" workbookViewId="0">
      <selection activeCell="N2" sqref="N2"/>
    </sheetView>
  </sheetViews>
  <sheetFormatPr baseColWidth="10" defaultRowHeight="12.75"/>
  <cols>
    <col min="13" max="13" width="12.28515625" customWidth="1"/>
    <col min="14" max="14" width="13.425781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65" customHeight="1">
      <c r="A2" s="27"/>
      <c r="B2" s="5" t="s">
        <v>278</v>
      </c>
      <c r="C2" s="3"/>
      <c r="D2" s="3"/>
      <c r="E2" s="3"/>
      <c r="F2" s="3"/>
      <c r="G2" s="3"/>
      <c r="H2" s="3"/>
      <c r="I2" s="3"/>
      <c r="J2" s="3"/>
      <c r="K2" s="3"/>
      <c r="L2" s="3"/>
      <c r="M2" s="3"/>
      <c r="N2" s="3"/>
      <c r="O2" s="3"/>
      <c r="P2" s="3"/>
      <c r="Q2" s="3"/>
      <c r="R2" s="3"/>
      <c r="S2" s="3"/>
      <c r="T2" s="3"/>
      <c r="U2" s="3"/>
      <c r="V2" s="3"/>
      <c r="W2" s="3"/>
      <c r="X2" s="3"/>
      <c r="Y2" s="3"/>
      <c r="Z2" s="3"/>
    </row>
    <row r="3" spans="1:64" s="40" customFormat="1" ht="23.6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3" t="s">
        <v>89</v>
      </c>
      <c r="C4" s="293"/>
      <c r="D4" s="293"/>
      <c r="E4" s="293"/>
      <c r="F4" s="293"/>
      <c r="G4" s="293"/>
      <c r="H4" s="293"/>
      <c r="I4" s="293"/>
      <c r="J4" s="293"/>
      <c r="K4" s="293"/>
      <c r="L4" s="293"/>
      <c r="M4" s="293"/>
      <c r="N4" s="293"/>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1" t="s">
        <v>479</v>
      </c>
      <c r="C6" s="291"/>
      <c r="D6" s="291"/>
      <c r="E6" s="291"/>
      <c r="F6" s="291"/>
      <c r="G6" s="291"/>
      <c r="H6" s="291"/>
      <c r="I6" s="291"/>
      <c r="J6" s="291"/>
      <c r="K6" s="291"/>
      <c r="L6" s="291"/>
      <c r="M6" s="291"/>
      <c r="N6" s="291"/>
    </row>
    <row r="7" spans="1:64" ht="172.5" customHeight="1">
      <c r="A7" s="40"/>
      <c r="B7" s="292"/>
      <c r="C7" s="292"/>
      <c r="D7" s="292"/>
      <c r="E7" s="292"/>
      <c r="F7" s="292"/>
      <c r="G7" s="292"/>
      <c r="H7" s="292"/>
      <c r="I7" s="292"/>
      <c r="J7" s="292"/>
      <c r="K7" s="292"/>
      <c r="L7" s="292"/>
      <c r="M7" s="292"/>
      <c r="N7" s="292"/>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2"/>
      <c r="C8" s="292"/>
      <c r="D8" s="292"/>
      <c r="E8" s="292"/>
      <c r="F8" s="292"/>
      <c r="G8" s="292"/>
      <c r="H8" s="292"/>
      <c r="I8" s="292"/>
      <c r="J8" s="292"/>
      <c r="K8" s="292"/>
      <c r="L8" s="292"/>
      <c r="M8" s="292"/>
      <c r="N8" s="292"/>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EEEEEE"/>
  </sheetPr>
  <dimension ref="B7:W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 min="21" max="21" width="11.5703125" customWidth="1"/>
  </cols>
  <sheetData>
    <row r="7" spans="3:23">
      <c r="C7" s="185" t="s">
        <v>51</v>
      </c>
      <c r="D7" s="113"/>
      <c r="E7" s="185" t="s">
        <v>52</v>
      </c>
      <c r="F7" s="113"/>
      <c r="G7" s="185" t="s">
        <v>11</v>
      </c>
      <c r="H7" s="113"/>
      <c r="I7" s="185" t="s">
        <v>53</v>
      </c>
      <c r="J7" s="113"/>
      <c r="K7" s="185" t="s">
        <v>54</v>
      </c>
      <c r="L7" s="113"/>
      <c r="M7" s="185" t="s">
        <v>54</v>
      </c>
      <c r="N7" s="113"/>
      <c r="O7" s="185" t="s">
        <v>55</v>
      </c>
      <c r="P7" s="113"/>
      <c r="Q7" s="40"/>
      <c r="R7" s="113"/>
      <c r="S7" s="185" t="s">
        <v>56</v>
      </c>
      <c r="T7" s="113"/>
      <c r="U7" s="185" t="s">
        <v>32</v>
      </c>
      <c r="V7" s="113"/>
      <c r="W7" s="40"/>
    </row>
    <row r="8" spans="3:23">
      <c r="U8" s="176" t="s">
        <v>267</v>
      </c>
      <c r="V8" s="176"/>
    </row>
    <row r="9" spans="3:23" ht="12.75" customHeight="1">
      <c r="C9" s="3" t="s">
        <v>57</v>
      </c>
      <c r="E9" s="17" t="s">
        <v>5</v>
      </c>
      <c r="G9" t="s">
        <v>58</v>
      </c>
      <c r="I9" t="s">
        <v>59</v>
      </c>
      <c r="K9" t="s">
        <v>60</v>
      </c>
      <c r="M9" t="s">
        <v>61</v>
      </c>
      <c r="O9" t="s">
        <v>62</v>
      </c>
      <c r="S9" s="40" t="s">
        <v>287</v>
      </c>
      <c r="U9" s="22" t="s">
        <v>33</v>
      </c>
      <c r="V9" s="22"/>
    </row>
    <row r="10" spans="3:23" ht="12.75" customHeight="1">
      <c r="C10" s="3" t="s">
        <v>63</v>
      </c>
      <c r="E10" s="17" t="s">
        <v>274</v>
      </c>
      <c r="G10" t="s">
        <v>64</v>
      </c>
      <c r="I10" t="s">
        <v>65</v>
      </c>
      <c r="K10" t="s">
        <v>6</v>
      </c>
      <c r="M10" t="s">
        <v>66</v>
      </c>
      <c r="O10" t="s">
        <v>67</v>
      </c>
      <c r="S10" s="40" t="s">
        <v>288</v>
      </c>
      <c r="U10" s="22" t="s">
        <v>37</v>
      </c>
      <c r="V10" s="22"/>
    </row>
    <row r="11" spans="3:23" ht="12.75" customHeight="1">
      <c r="C11" s="3" t="s">
        <v>68</v>
      </c>
      <c r="E11" s="17" t="s">
        <v>275</v>
      </c>
      <c r="G11" t="s">
        <v>69</v>
      </c>
      <c r="O11" t="s">
        <v>70</v>
      </c>
      <c r="S11" s="40" t="s">
        <v>289</v>
      </c>
      <c r="U11" s="22" t="s">
        <v>35</v>
      </c>
      <c r="V11" s="22"/>
    </row>
    <row r="12" spans="3:23" ht="12.75" customHeight="1">
      <c r="C12" s="3" t="s">
        <v>71</v>
      </c>
      <c r="E12" s="17" t="s">
        <v>7</v>
      </c>
      <c r="O12" t="s">
        <v>72</v>
      </c>
      <c r="U12" s="22" t="s">
        <v>28</v>
      </c>
      <c r="V12" s="22"/>
    </row>
    <row r="13" spans="3:23" ht="12.75" customHeight="1">
      <c r="E13" s="17" t="s">
        <v>8</v>
      </c>
      <c r="O13" t="s">
        <v>73</v>
      </c>
      <c r="U13" s="22" t="s">
        <v>26</v>
      </c>
      <c r="V13" s="22"/>
    </row>
    <row r="14" spans="3:23" ht="12.75" customHeight="1">
      <c r="E14" s="17" t="s">
        <v>9</v>
      </c>
      <c r="O14" t="s">
        <v>74</v>
      </c>
    </row>
    <row r="15" spans="3:23" ht="12.75" customHeight="1">
      <c r="E15" s="17" t="s">
        <v>276</v>
      </c>
      <c r="O15" t="s">
        <v>75</v>
      </c>
    </row>
    <row r="16" spans="3:23" ht="12.75" customHeight="1">
      <c r="E16" s="17" t="s">
        <v>277</v>
      </c>
      <c r="O16" s="40" t="s">
        <v>76</v>
      </c>
    </row>
    <row r="17" spans="2:15" ht="12.75" customHeight="1">
      <c r="E17" s="17" t="s">
        <v>10</v>
      </c>
      <c r="O17" t="s">
        <v>77</v>
      </c>
    </row>
    <row r="18" spans="2:15" ht="12.75" customHeight="1">
      <c r="E18" s="17"/>
      <c r="O18" t="s">
        <v>78</v>
      </c>
    </row>
    <row r="19" spans="2:15" ht="12.75" customHeight="1">
      <c r="E19" s="17"/>
      <c r="O19" t="s">
        <v>79</v>
      </c>
    </row>
    <row r="20" spans="2:15" ht="12.75" customHeight="1">
      <c r="E20" s="32"/>
      <c r="O20" t="s">
        <v>80</v>
      </c>
    </row>
    <row r="21" spans="2:15" ht="12.75" customHeight="1">
      <c r="E21" s="18"/>
      <c r="O21" t="s">
        <v>81</v>
      </c>
    </row>
    <row r="22" spans="2:15" ht="12.75" customHeight="1">
      <c r="O22" t="s">
        <v>66</v>
      </c>
    </row>
    <row r="23" spans="2:15" ht="15.75">
      <c r="B23" s="33" t="s">
        <v>82</v>
      </c>
    </row>
    <row r="25" spans="2:15" ht="15.75">
      <c r="B25" s="34" t="s">
        <v>83</v>
      </c>
      <c r="C25" s="35">
        <v>0.1</v>
      </c>
    </row>
    <row r="26" spans="2:15" ht="15.75">
      <c r="B26" s="34" t="s">
        <v>84</v>
      </c>
      <c r="C26" s="35">
        <v>0.5</v>
      </c>
    </row>
    <row r="27" spans="2:15" ht="15.75">
      <c r="B27" s="34" t="s">
        <v>85</v>
      </c>
      <c r="C27" s="35">
        <v>1</v>
      </c>
    </row>
    <row r="28" spans="2:15">
      <c r="C28" s="36"/>
      <c r="D28" s="36"/>
    </row>
    <row r="29" spans="2:15">
      <c r="C29" s="36"/>
      <c r="D29" s="36"/>
    </row>
    <row r="30" spans="2:15" ht="15">
      <c r="B30" s="37" t="s">
        <v>86</v>
      </c>
      <c r="C30" s="38"/>
      <c r="D30" s="38"/>
    </row>
    <row r="31" spans="2:15" ht="14.25">
      <c r="B31" s="39"/>
      <c r="C31" s="38"/>
      <c r="D31" s="38"/>
    </row>
    <row r="32" spans="2:15" ht="14.25">
      <c r="B32" s="39" t="s">
        <v>87</v>
      </c>
      <c r="C32" s="39">
        <v>28</v>
      </c>
      <c r="D32" s="39"/>
    </row>
    <row r="33" spans="2:4" ht="14.25">
      <c r="B33" s="39" t="s">
        <v>88</v>
      </c>
      <c r="C33" s="39">
        <v>16</v>
      </c>
      <c r="D33" s="39"/>
    </row>
    <row r="34" spans="2:4" ht="14.25">
      <c r="B34" s="39"/>
      <c r="C34" s="39"/>
      <c r="D34" s="39"/>
    </row>
    <row r="35" spans="2:4" ht="14.25">
      <c r="B35" s="39"/>
      <c r="C35" s="39"/>
      <c r="D35" s="39"/>
    </row>
    <row r="36" spans="2:4" ht="14.25">
      <c r="B36" s="39"/>
      <c r="C36" s="39"/>
      <c r="D36" s="39"/>
    </row>
    <row r="37" spans="2:4" ht="14.25">
      <c r="B37" s="39"/>
      <c r="C37" s="39"/>
      <c r="D37" s="39"/>
    </row>
    <row r="38" spans="2:4" ht="14.25">
      <c r="B38" s="39"/>
      <c r="C38" s="39"/>
      <c r="D38" s="39"/>
    </row>
    <row r="39" spans="2:4" ht="14.25">
      <c r="B39" s="39"/>
      <c r="C39" s="39"/>
      <c r="D39" s="39"/>
    </row>
    <row r="40" spans="2:4" ht="14.25">
      <c r="B40" s="39"/>
      <c r="C40" s="39"/>
    </row>
    <row r="41" spans="2:4" ht="14.25">
      <c r="B41" s="39"/>
      <c r="C41" s="39"/>
    </row>
    <row r="42" spans="2:4" ht="14.25">
      <c r="B42" s="39"/>
      <c r="C42" s="39"/>
    </row>
    <row r="43" spans="2:4" ht="14.25">
      <c r="B43" s="39"/>
      <c r="C43" s="39"/>
    </row>
    <row r="44" spans="2:4" ht="14.25">
      <c r="B44" s="39"/>
      <c r="C44" s="39"/>
    </row>
    <row r="45" spans="2:4" ht="14.25">
      <c r="B45" s="39"/>
      <c r="C45" s="39"/>
    </row>
    <row r="46" spans="2:4" ht="14.25">
      <c r="B46" s="39"/>
      <c r="C46" s="39"/>
    </row>
    <row r="47" spans="2:4" ht="14.25">
      <c r="B47" s="39"/>
      <c r="C47" s="39"/>
    </row>
    <row r="48" spans="2:4" ht="14.25">
      <c r="B48" s="39"/>
      <c r="C48" s="39"/>
    </row>
    <row r="49" spans="2:3" ht="14.25">
      <c r="B49" s="39"/>
      <c r="C49" s="39"/>
    </row>
    <row r="50" spans="2:3" ht="14.25">
      <c r="B50" s="39"/>
      <c r="C50" s="39"/>
    </row>
    <row r="51" spans="2:3" ht="14.25">
      <c r="B51" s="39"/>
      <c r="C51" s="39"/>
    </row>
    <row r="52" spans="2:3" ht="14.25">
      <c r="B52" s="39"/>
      <c r="C52" s="39"/>
    </row>
    <row r="53" spans="2:3" ht="14.25">
      <c r="B53" s="39"/>
      <c r="C53" s="39"/>
    </row>
    <row r="54" spans="2:3" ht="14.25">
      <c r="B54" s="39"/>
      <c r="C54" s="39"/>
    </row>
    <row r="55" spans="2:3" ht="14.25">
      <c r="B55" s="39"/>
      <c r="C55" s="39"/>
    </row>
    <row r="56" spans="2:3" ht="14.25">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FN37"/>
  <sheetViews>
    <sheetView zoomScale="80" zoomScaleNormal="80" workbookViewId="0">
      <selection activeCell="DU7" sqref="DU7"/>
    </sheetView>
  </sheetViews>
  <sheetFormatPr baseColWidth="10" defaultColWidth="11.42578125" defaultRowHeight="12.75"/>
  <cols>
    <col min="1" max="1" width="11.42578125" style="40"/>
    <col min="2" max="2" width="13.42578125" style="40" bestFit="1" customWidth="1"/>
    <col min="3" max="3" width="48.42578125" style="40" customWidth="1"/>
    <col min="4" max="4" width="14.28515625" style="40" customWidth="1"/>
    <col min="5" max="5" width="14.140625" style="40" customWidth="1"/>
    <col min="6" max="8" width="11.42578125" style="40"/>
    <col min="9" max="9" width="2.42578125" style="40" customWidth="1"/>
    <col min="10" max="10" width="2.7109375" style="40" customWidth="1"/>
    <col min="11" max="11" width="27.5703125" style="40" customWidth="1"/>
    <col min="12" max="12" width="11.42578125" style="40"/>
    <col min="13" max="13" width="12.28515625" style="40" bestFit="1" customWidth="1"/>
    <col min="14" max="14" width="9.140625" style="40" bestFit="1" customWidth="1"/>
    <col min="15" max="15" width="5.5703125" style="40" bestFit="1" customWidth="1"/>
    <col min="16" max="16" width="8.85546875" style="40" bestFit="1" customWidth="1"/>
    <col min="17" max="19" width="3.5703125" style="40" customWidth="1"/>
    <col min="20" max="20" width="11.42578125" style="40"/>
    <col min="21" max="21" width="14.85546875" style="40" bestFit="1" customWidth="1"/>
    <col min="22" max="22" width="21.28515625" style="40" bestFit="1" customWidth="1"/>
    <col min="23" max="25" width="11.42578125" style="40"/>
    <col min="26" max="26" width="21.28515625" style="40" bestFit="1" customWidth="1"/>
    <col min="27" max="119" width="11.42578125" style="40"/>
    <col min="120" max="120" width="14.85546875" style="40" bestFit="1" customWidth="1"/>
    <col min="121" max="124" width="11.42578125" style="40"/>
    <col min="125" max="125" width="21.28515625" style="40" bestFit="1" customWidth="1"/>
    <col min="126" max="16384" width="11.42578125" style="40"/>
  </cols>
  <sheetData>
    <row r="1" spans="1:170">
      <c r="A1" s="144" t="s">
        <v>124</v>
      </c>
      <c r="B1" s="144"/>
      <c r="C1" s="144" t="s">
        <v>125</v>
      </c>
      <c r="D1" s="144"/>
      <c r="E1" s="144" t="s">
        <v>342</v>
      </c>
      <c r="F1" s="144"/>
      <c r="G1" s="144"/>
      <c r="H1" s="144"/>
      <c r="I1" s="144"/>
      <c r="J1" s="144"/>
      <c r="K1" s="144" t="s">
        <v>345</v>
      </c>
      <c r="L1" s="144"/>
      <c r="M1" s="144"/>
      <c r="T1" s="295" t="s">
        <v>361</v>
      </c>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4" t="s">
        <v>476</v>
      </c>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row>
    <row r="2" spans="1:170">
      <c r="A2" s="40" t="s">
        <v>126</v>
      </c>
      <c r="B2" s="146" t="str">
        <f>'00.Info'!N2</f>
        <v>Versión: 2.0.1</v>
      </c>
      <c r="C2" s="144" t="s">
        <v>127</v>
      </c>
      <c r="D2" s="147">
        <f>'01.Definición de ámbito'!C7</f>
        <v>0</v>
      </c>
      <c r="E2" s="144" t="s">
        <v>293</v>
      </c>
      <c r="F2" s="147" t="str">
        <f>'02.Tecnologías'!C9</f>
        <v>Sí</v>
      </c>
      <c r="G2" s="205" t="s">
        <v>343</v>
      </c>
      <c r="H2" s="205" t="s">
        <v>344</v>
      </c>
      <c r="I2" s="205"/>
      <c r="J2" s="205"/>
      <c r="K2" s="153" t="s">
        <v>346</v>
      </c>
      <c r="L2" s="207">
        <f>'03.Muestra'!D45</f>
        <v>16</v>
      </c>
      <c r="M2" s="144"/>
      <c r="T2" s="145" t="s">
        <v>128</v>
      </c>
      <c r="U2" s="145" t="s">
        <v>129</v>
      </c>
      <c r="V2" s="145" t="s">
        <v>270</v>
      </c>
      <c r="W2" s="145" t="s">
        <v>130</v>
      </c>
      <c r="X2" s="145" t="s">
        <v>341</v>
      </c>
      <c r="Y2" s="145" t="s">
        <v>131</v>
      </c>
      <c r="Z2" s="145" t="s">
        <v>19</v>
      </c>
      <c r="AA2" s="145" t="s">
        <v>98</v>
      </c>
      <c r="AB2" s="145" t="s">
        <v>99</v>
      </c>
      <c r="AC2" s="145" t="s">
        <v>100</v>
      </c>
      <c r="AD2" s="145" t="s">
        <v>101</v>
      </c>
      <c r="AE2" s="145" t="s">
        <v>323</v>
      </c>
      <c r="AF2" s="145" t="s">
        <v>324</v>
      </c>
      <c r="AG2" s="145" t="s">
        <v>325</v>
      </c>
      <c r="AH2" s="145" t="s">
        <v>326</v>
      </c>
      <c r="AI2" s="145" t="s">
        <v>327</v>
      </c>
      <c r="AJ2" s="145" t="s">
        <v>328</v>
      </c>
      <c r="AK2" s="145" t="s">
        <v>329</v>
      </c>
      <c r="AL2" s="145" t="s">
        <v>330</v>
      </c>
      <c r="AM2" s="145" t="s">
        <v>331</v>
      </c>
      <c r="AN2" s="145" t="s">
        <v>332</v>
      </c>
      <c r="AO2" s="145" t="s">
        <v>102</v>
      </c>
      <c r="AP2" s="145" t="s">
        <v>103</v>
      </c>
      <c r="AQ2" s="145" t="s">
        <v>333</v>
      </c>
      <c r="AR2" s="145" t="s">
        <v>104</v>
      </c>
      <c r="AS2" s="145" t="s">
        <v>105</v>
      </c>
      <c r="AT2" s="145" t="s">
        <v>334</v>
      </c>
      <c r="AU2" s="145" t="s">
        <v>335</v>
      </c>
      <c r="AV2" s="145" t="s">
        <v>336</v>
      </c>
      <c r="AW2" s="145" t="s">
        <v>106</v>
      </c>
      <c r="AX2" s="145" t="s">
        <v>107</v>
      </c>
      <c r="AY2" s="145" t="s">
        <v>108</v>
      </c>
      <c r="AZ2" s="145" t="s">
        <v>337</v>
      </c>
      <c r="BA2" s="145" t="s">
        <v>338</v>
      </c>
      <c r="BB2" s="145" t="s">
        <v>109</v>
      </c>
      <c r="BC2" s="145" t="s">
        <v>110</v>
      </c>
      <c r="BD2" s="145" t="s">
        <v>111</v>
      </c>
      <c r="BE2" s="145" t="s">
        <v>112</v>
      </c>
      <c r="BF2" s="145" t="s">
        <v>155</v>
      </c>
      <c r="BG2" s="145" t="s">
        <v>156</v>
      </c>
      <c r="BH2" s="145" t="s">
        <v>157</v>
      </c>
      <c r="BI2" s="145" t="s">
        <v>158</v>
      </c>
      <c r="BJ2" s="145" t="s">
        <v>159</v>
      </c>
      <c r="BK2" s="145" t="s">
        <v>160</v>
      </c>
      <c r="BL2" s="145" t="s">
        <v>161</v>
      </c>
      <c r="BM2" s="145" t="s">
        <v>162</v>
      </c>
      <c r="BN2" s="145" t="s">
        <v>163</v>
      </c>
      <c r="BO2" s="145" t="s">
        <v>164</v>
      </c>
      <c r="BP2" s="145" t="s">
        <v>165</v>
      </c>
      <c r="BQ2" s="145" t="s">
        <v>166</v>
      </c>
      <c r="BR2" s="145" t="s">
        <v>167</v>
      </c>
      <c r="BS2" s="145" t="s">
        <v>168</v>
      </c>
      <c r="BT2" s="145" t="s">
        <v>169</v>
      </c>
      <c r="BU2" s="145" t="s">
        <v>170</v>
      </c>
      <c r="BV2" s="145" t="s">
        <v>171</v>
      </c>
      <c r="BW2" s="145" t="s">
        <v>172</v>
      </c>
      <c r="BX2" s="145" t="s">
        <v>173</v>
      </c>
      <c r="BY2" s="145" t="s">
        <v>174</v>
      </c>
      <c r="BZ2" s="145" t="s">
        <v>175</v>
      </c>
      <c r="CA2" s="145" t="s">
        <v>176</v>
      </c>
      <c r="CB2" s="145" t="s">
        <v>177</v>
      </c>
      <c r="CC2" s="145" t="s">
        <v>178</v>
      </c>
      <c r="CD2" s="145" t="s">
        <v>179</v>
      </c>
      <c r="CE2" s="145" t="s">
        <v>241</v>
      </c>
      <c r="CF2" s="145" t="s">
        <v>242</v>
      </c>
      <c r="CG2" s="145" t="s">
        <v>180</v>
      </c>
      <c r="CH2" s="145" t="s">
        <v>181</v>
      </c>
      <c r="CI2" s="145" t="s">
        <v>243</v>
      </c>
      <c r="CJ2" s="145" t="s">
        <v>182</v>
      </c>
      <c r="CK2" s="145" t="s">
        <v>183</v>
      </c>
      <c r="CL2" s="145" t="s">
        <v>184</v>
      </c>
      <c r="CM2" s="145" t="s">
        <v>185</v>
      </c>
      <c r="CN2" s="145" t="s">
        <v>186</v>
      </c>
      <c r="CO2" s="145" t="s">
        <v>187</v>
      </c>
      <c r="CP2" s="145" t="s">
        <v>188</v>
      </c>
      <c r="CQ2" s="145" t="s">
        <v>244</v>
      </c>
      <c r="CR2" s="145" t="s">
        <v>189</v>
      </c>
      <c r="CS2" s="145" t="s">
        <v>190</v>
      </c>
      <c r="CT2" s="145" t="s">
        <v>245</v>
      </c>
      <c r="CU2" s="145" t="s">
        <v>246</v>
      </c>
      <c r="CV2" s="145" t="s">
        <v>191</v>
      </c>
      <c r="CW2" s="145" t="s">
        <v>192</v>
      </c>
      <c r="CX2" s="145" t="s">
        <v>193</v>
      </c>
      <c r="CY2" s="145" t="s">
        <v>194</v>
      </c>
      <c r="CZ2" s="145" t="s">
        <v>195</v>
      </c>
      <c r="DA2" s="145" t="s">
        <v>196</v>
      </c>
      <c r="DB2" s="145" t="s">
        <v>247</v>
      </c>
      <c r="DC2" s="145" t="s">
        <v>467</v>
      </c>
      <c r="DD2" s="145" t="s">
        <v>113</v>
      </c>
      <c r="DE2" s="145" t="s">
        <v>114</v>
      </c>
      <c r="DF2" s="145" t="s">
        <v>115</v>
      </c>
      <c r="DG2" s="145" t="s">
        <v>116</v>
      </c>
      <c r="DH2" s="145" t="s">
        <v>117</v>
      </c>
      <c r="DI2" s="145" t="s">
        <v>118</v>
      </c>
      <c r="DJ2" s="145" t="s">
        <v>119</v>
      </c>
      <c r="DK2" s="145" t="s">
        <v>120</v>
      </c>
      <c r="DL2" s="145" t="s">
        <v>121</v>
      </c>
      <c r="DM2" s="145" t="s">
        <v>122</v>
      </c>
      <c r="DN2" s="145" t="s">
        <v>123</v>
      </c>
      <c r="DO2" s="145" t="s">
        <v>128</v>
      </c>
      <c r="DP2" s="145" t="s">
        <v>129</v>
      </c>
      <c r="DQ2" s="145" t="s">
        <v>270</v>
      </c>
      <c r="DR2" s="145" t="s">
        <v>130</v>
      </c>
      <c r="DS2" s="145" t="s">
        <v>341</v>
      </c>
      <c r="DT2" s="145" t="s">
        <v>131</v>
      </c>
      <c r="DU2" s="145" t="s">
        <v>19</v>
      </c>
      <c r="DV2" s="145" t="s">
        <v>197</v>
      </c>
      <c r="DW2" s="144" t="s">
        <v>198</v>
      </c>
      <c r="DX2" s="144" t="s">
        <v>199</v>
      </c>
      <c r="DY2" s="144" t="s">
        <v>200</v>
      </c>
      <c r="DZ2" s="144" t="s">
        <v>201</v>
      </c>
      <c r="EA2" s="144" t="s">
        <v>202</v>
      </c>
      <c r="EB2" s="144" t="s">
        <v>203</v>
      </c>
      <c r="EC2" s="144" t="s">
        <v>204</v>
      </c>
      <c r="ED2" s="144" t="s">
        <v>205</v>
      </c>
      <c r="EE2" s="144" t="s">
        <v>206</v>
      </c>
      <c r="EF2" s="144" t="s">
        <v>207</v>
      </c>
      <c r="EG2" s="144" t="s">
        <v>208</v>
      </c>
      <c r="EH2" s="144" t="s">
        <v>209</v>
      </c>
      <c r="EI2" s="144" t="s">
        <v>210</v>
      </c>
      <c r="EJ2" s="144" t="s">
        <v>211</v>
      </c>
      <c r="EK2" s="144" t="s">
        <v>212</v>
      </c>
      <c r="EL2" s="144" t="s">
        <v>213</v>
      </c>
      <c r="EM2" s="144" t="s">
        <v>214</v>
      </c>
      <c r="EN2" s="144" t="s">
        <v>215</v>
      </c>
      <c r="EO2" s="144" t="s">
        <v>216</v>
      </c>
      <c r="EP2" s="144" t="s">
        <v>217</v>
      </c>
      <c r="EQ2" s="144" t="s">
        <v>218</v>
      </c>
      <c r="ER2" s="144" t="s">
        <v>219</v>
      </c>
      <c r="ES2" s="144" t="s">
        <v>220</v>
      </c>
      <c r="ET2" s="144" t="s">
        <v>221</v>
      </c>
      <c r="EU2" s="144" t="s">
        <v>240</v>
      </c>
      <c r="EV2" s="144" t="s">
        <v>222</v>
      </c>
      <c r="EW2" s="144" t="s">
        <v>223</v>
      </c>
      <c r="EX2" s="144" t="s">
        <v>224</v>
      </c>
      <c r="EY2" s="144" t="s">
        <v>225</v>
      </c>
      <c r="EZ2" s="144" t="s">
        <v>226</v>
      </c>
      <c r="FA2" s="144" t="s">
        <v>227</v>
      </c>
      <c r="FB2" s="144" t="s">
        <v>228</v>
      </c>
      <c r="FC2" s="144" t="s">
        <v>229</v>
      </c>
      <c r="FD2" s="144" t="s">
        <v>230</v>
      </c>
      <c r="FE2" s="144" t="s">
        <v>239</v>
      </c>
      <c r="FF2" s="144" t="s">
        <v>231</v>
      </c>
      <c r="FG2" s="144" t="s">
        <v>232</v>
      </c>
      <c r="FH2" s="144" t="s">
        <v>233</v>
      </c>
      <c r="FI2" s="144" t="s">
        <v>234</v>
      </c>
      <c r="FJ2" s="144" t="s">
        <v>235</v>
      </c>
      <c r="FK2" s="144" t="s">
        <v>236</v>
      </c>
      <c r="FL2" s="144" t="s">
        <v>237</v>
      </c>
      <c r="FM2" s="144" t="s">
        <v>238</v>
      </c>
      <c r="FN2" s="144" t="s">
        <v>351</v>
      </c>
    </row>
    <row r="3" spans="1:170">
      <c r="C3" s="144" t="s">
        <v>132</v>
      </c>
      <c r="D3" s="147">
        <f>'01.Definición de ámbito'!C9</f>
        <v>0</v>
      </c>
      <c r="E3" s="144" t="s">
        <v>296</v>
      </c>
      <c r="F3" s="147" t="str">
        <f>'02.Tecnologías'!C10</f>
        <v>No</v>
      </c>
      <c r="G3" s="147">
        <f>'02.Tecnologías'!K13</f>
        <v>0</v>
      </c>
      <c r="H3" s="147">
        <f>'02.Tecnologías'!L13</f>
        <v>0</v>
      </c>
      <c r="I3" s="206"/>
      <c r="J3" s="206"/>
      <c r="K3" s="153" t="s">
        <v>347</v>
      </c>
      <c r="L3" s="207">
        <f>'03.Muestra'!D47</f>
        <v>14</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https://www.comunidad.madrid/hospital/clinicosancarlos/</v>
      </c>
      <c r="Y3" s="148" t="str">
        <f t="array" ref="Y3:Y37">IFERROR(INDEX('03.Muestra'!$G$8:$G$42,SMALL(IF("Página Web"='03.Muestra'!$D$8:$D$42,ROW('03.Muestra'!$G$8:$GE$42)-MIN(ROW('03.Muestra'!$D$8:$D$42))+1,""),ROW()-2)),"")</f>
        <v xml:space="preserve">Home </v>
      </c>
      <c r="Z3" s="237" t="str">
        <f t="array" ref="Z3:Z37">IFERROR(INDEX('03.Muestra'!$H$8:$H$42,SMALL(IF("Página Web"='03.Muestra'!$D$8:$D$42,ROW('03.Muestra'!$H$8:$H$42)-MIN(ROW('03.Muestra'!$D$8:$D$42))+1,""),ROW()-2)),"")</f>
        <v>Ej. Imágenes, tablas, listas, multimedia, formularios, plantilla X, plantilla Y</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Falla</v>
      </c>
      <c r="BG3" s="146" t="str">
        <f ca="1">RESULTADOS!AK20</f>
        <v>N/A</v>
      </c>
      <c r="BH3" s="146" t="str">
        <f ca="1">RESULTADOS!AL20</f>
        <v>N/A</v>
      </c>
      <c r="BI3" s="146" t="str">
        <f ca="1">RESULTADOS!AM20</f>
        <v>Falla</v>
      </c>
      <c r="BJ3" s="146" t="str">
        <f ca="1">RESULTADOS!AN20</f>
        <v>Falla</v>
      </c>
      <c r="BK3" s="146" t="str">
        <f ca="1">RESULTADOS!AO20</f>
        <v>Falla</v>
      </c>
      <c r="BL3" s="146" t="str">
        <f ca="1">RESULTADOS!AP20</f>
        <v>Pasa</v>
      </c>
      <c r="BM3" s="146" t="str">
        <f ca="1">RESULTADOS!AQ20</f>
        <v>N/A</v>
      </c>
      <c r="BN3" s="146" t="str">
        <f ca="1">RESULTADOS!AR20</f>
        <v>N/A</v>
      </c>
      <c r="BO3" s="146" t="str">
        <f ca="1">RESULTADOS!AS20</f>
        <v>N/A</v>
      </c>
      <c r="BP3" s="146" t="str">
        <f ca="1">RESULTADOS!AT20</f>
        <v>Pasa</v>
      </c>
      <c r="BQ3" s="146" t="str">
        <f ca="1">RESULTADOS!AU20</f>
        <v>N/A</v>
      </c>
      <c r="BR3" s="146" t="str">
        <f ca="1">RESULTADOS!AV20</f>
        <v>Pasa</v>
      </c>
      <c r="BS3" s="146" t="str">
        <f ca="1">RESULTADOS!AW20</f>
        <v>Falla</v>
      </c>
      <c r="BT3" s="146" t="str">
        <f ca="1">RESULTADOS!AX20</f>
        <v>N/A</v>
      </c>
      <c r="BU3" s="146" t="str">
        <f ca="1">RESULTADOS!AY20</f>
        <v>Pasa</v>
      </c>
      <c r="BV3" s="146" t="str">
        <f ca="1">RESULTADOS!AZ20</f>
        <v>Pasa</v>
      </c>
      <c r="BW3" s="146" t="str">
        <f ca="1">RESULTADOS!BA20</f>
        <v>Pasa</v>
      </c>
      <c r="BX3" s="146" t="str">
        <f ca="1">RESULTADOS!BB20</f>
        <v>Pasa</v>
      </c>
      <c r="BY3" s="146" t="str">
        <f ca="1">RESULTADOS!BC20</f>
        <v>Pasa</v>
      </c>
      <c r="BZ3" s="146" t="str">
        <f ca="1">RESULTADOS!BD20</f>
        <v>Pasa</v>
      </c>
      <c r="CA3" s="146" t="str">
        <f ca="1">RESULTADOS!BE20</f>
        <v>N/A</v>
      </c>
      <c r="CB3" s="146" t="str">
        <f ca="1">RESULTADOS!BF20</f>
        <v>N/A</v>
      </c>
      <c r="CC3" s="146" t="str">
        <f ca="1">RESULTADOS!BG20</f>
        <v>Falla</v>
      </c>
      <c r="CD3" s="146" t="str">
        <f ca="1">RESULTADOS!BH20</f>
        <v>N/A</v>
      </c>
      <c r="CE3" s="146" t="str">
        <f ca="1">RESULTADOS!BI20</f>
        <v>N/A</v>
      </c>
      <c r="CF3" s="146" t="str">
        <f ca="1">RESULTADOS!BJ20</f>
        <v>Pasa</v>
      </c>
      <c r="CG3" s="146" t="str">
        <f ca="1">RESULTADOS!BK20</f>
        <v>Pasa</v>
      </c>
      <c r="CH3" s="146" t="str">
        <f ca="1">RESULTADOS!BL20</f>
        <v>Falla</v>
      </c>
      <c r="CI3" s="146" t="str">
        <f ca="1">RESULTADOS!BM20</f>
        <v>Pasa</v>
      </c>
      <c r="CJ3" s="146" t="str">
        <f ca="1">RESULTADOS!BN20</f>
        <v>Pasa</v>
      </c>
      <c r="CK3" s="146" t="str">
        <f ca="1">RESULTADOS!BO20</f>
        <v>Pasa</v>
      </c>
      <c r="CL3" s="146" t="str">
        <f ca="1">RESULTADOS!BP20</f>
        <v>N/A</v>
      </c>
      <c r="CM3" s="146" t="str">
        <f ca="1">RESULTADOS!BQ20</f>
        <v>N/A</v>
      </c>
      <c r="CN3" s="146" t="str">
        <f ca="1">RESULTADOS!BR20</f>
        <v>Pasa</v>
      </c>
      <c r="CO3" s="146" t="str">
        <f ca="1">RESULTADOS!BS20</f>
        <v>N/A</v>
      </c>
      <c r="CP3" s="146" t="str">
        <f ca="1">RESULTADOS!BT20</f>
        <v>Falla</v>
      </c>
      <c r="CQ3" s="146" t="str">
        <f ca="1">RESULTADOS!BU20</f>
        <v>N/A</v>
      </c>
      <c r="CR3" s="146" t="str">
        <f ca="1">RESULTADOS!BV20</f>
        <v>Pasa</v>
      </c>
      <c r="CS3" s="146" t="str">
        <f ca="1">RESULTADOS!BW20</f>
        <v>N/A</v>
      </c>
      <c r="CT3" s="146" t="str">
        <f ca="1">RESULTADOS!BX20</f>
        <v>Pasa</v>
      </c>
      <c r="CU3" s="146" t="str">
        <f ca="1">RESULTADOS!BY20</f>
        <v>Pasa</v>
      </c>
      <c r="CV3" s="146" t="str">
        <f ca="1">RESULTADOS!BZ20</f>
        <v>N/A</v>
      </c>
      <c r="CW3" s="146" t="str">
        <f ca="1">RESULTADOS!CA20</f>
        <v>Falla</v>
      </c>
      <c r="CX3" s="146" t="str">
        <f ca="1">RESULTADOS!CB20</f>
        <v>N/A</v>
      </c>
      <c r="CY3" s="146" t="str">
        <f ca="1">RESULTADOS!CC20</f>
        <v>N/A</v>
      </c>
      <c r="CZ3" s="146" t="str">
        <f ca="1">RESULTADOS!CD20</f>
        <v>Pasa</v>
      </c>
      <c r="DA3" s="146" t="str">
        <f ca="1">RESULTADOS!CE20</f>
        <v>Pasa</v>
      </c>
      <c r="DB3" s="146" t="str">
        <f ca="1">RESULTADOS!CF20</f>
        <v>N/A</v>
      </c>
      <c r="DC3" s="146" t="str">
        <f ca="1">RESULTADOS!CG20</f>
        <v>Falla</v>
      </c>
      <c r="DD3" s="146" t="str">
        <f ca="1">RESULTADOS!CH20</f>
        <v>N/A</v>
      </c>
      <c r="DE3" s="146" t="str">
        <f ca="1">RESULTADOS!CI20</f>
        <v>N/A</v>
      </c>
      <c r="DF3" s="146" t="str">
        <f ca="1">RESULTADOS!CJ20</f>
        <v>N/A</v>
      </c>
      <c r="DG3" s="146" t="str">
        <f ca="1">RESULTADOS!CK20</f>
        <v>N/A</v>
      </c>
      <c r="DH3" s="146" t="str">
        <f ca="1">RESULTADOS!CL20</f>
        <v>N/A</v>
      </c>
      <c r="DI3" s="146" t="str">
        <f ca="1">RESULTADOS!CM20</f>
        <v>N/A</v>
      </c>
      <c r="DJ3" s="146" t="str">
        <f ca="1">RESULTADOS!CN20</f>
        <v>Pasa</v>
      </c>
      <c r="DK3" s="146" t="str">
        <f ca="1">RESULTADOS!CO20</f>
        <v>Falla</v>
      </c>
      <c r="DL3" s="146" t="str">
        <f ca="1">RESULTADOS!CP20</f>
        <v>Pasa</v>
      </c>
      <c r="DM3" s="146" t="str">
        <f ca="1">RESULTADOS!CQ20</f>
        <v>Falla</v>
      </c>
      <c r="DN3" s="146" t="str">
        <f ca="1">RESULTADOS!CR20</f>
        <v>Falla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c r="C4" s="144" t="s">
        <v>135</v>
      </c>
      <c r="D4" s="147">
        <f>'01.Definición de ámbito'!C11</f>
        <v>0</v>
      </c>
      <c r="E4" s="144" t="s">
        <v>299</v>
      </c>
      <c r="F4" s="147" t="str">
        <f>'02.Tecnologías'!C11</f>
        <v>No</v>
      </c>
      <c r="G4" s="147">
        <f>'02.Tecnologías'!K14</f>
        <v>0</v>
      </c>
      <c r="H4" s="147">
        <f>'02.Tecnologías'!L14</f>
        <v>0</v>
      </c>
      <c r="I4" s="206"/>
      <c r="J4" s="206"/>
      <c r="K4" s="153" t="s">
        <v>348</v>
      </c>
      <c r="L4" s="207">
        <f>'03.Muestra'!D49</f>
        <v>2</v>
      </c>
      <c r="M4" s="144"/>
      <c r="T4" s="148">
        <f>RESULTADOS!B21</f>
        <v>2</v>
      </c>
      <c r="U4" s="148" t="str">
        <f>RESULTADOS!C21</f>
        <v>Ciudadanos</v>
      </c>
      <c r="V4" s="148" t="str">
        <f t="shared" ref="V4:V37" si="0">IF(T4&lt;&gt;"","Página web","")</f>
        <v>Página web</v>
      </c>
      <c r="W4" s="148" t="str">
        <v>Pagina tipo</v>
      </c>
      <c r="X4" s="148" t="str">
        <f>RESULTADOS!D21</f>
        <v>https://www.comunidad.madrid/hospital/clinicosancarlos/ciudadanos</v>
      </c>
      <c r="Y4" s="148" t="str">
        <v>Home - Ciudadanos</v>
      </c>
      <c r="Z4" s="237">
        <v>0</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Falla</v>
      </c>
      <c r="BJ4" s="146" t="str">
        <f ca="1">RESULTADOS!AN21</f>
        <v>Falla</v>
      </c>
      <c r="BK4" s="146" t="str">
        <f ca="1">RESULTADOS!AO21</f>
        <v>Falla</v>
      </c>
      <c r="BL4" s="146" t="str">
        <f ca="1">RESULTADOS!AP21</f>
        <v>Pasa</v>
      </c>
      <c r="BM4" s="146" t="str">
        <f ca="1">RESULTADOS!AQ21</f>
        <v>N/A</v>
      </c>
      <c r="BN4" s="146" t="str">
        <f ca="1">RESULTADOS!AR21</f>
        <v>N/A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Pasa</v>
      </c>
      <c r="BV4" s="146" t="str">
        <f ca="1">RESULTADOS!AZ21</f>
        <v>Pasa</v>
      </c>
      <c r="BW4" s="146" t="str">
        <f ca="1">RESULTADOS!BA21</f>
        <v>Pasa</v>
      </c>
      <c r="BX4" s="146" t="str">
        <f ca="1">RESULTADOS!BB21</f>
        <v>Pasa</v>
      </c>
      <c r="BY4" s="146" t="str">
        <f ca="1">RESULTADOS!BC21</f>
        <v>Pasa</v>
      </c>
      <c r="BZ4" s="146" t="str">
        <f ca="1">RESULTADOS!BD21</f>
        <v>Pasa</v>
      </c>
      <c r="CA4" s="146" t="str">
        <f ca="1">RESULTADOS!BE21</f>
        <v>N/A</v>
      </c>
      <c r="CB4" s="146" t="str">
        <f ca="1">RESULTADOS!BF21</f>
        <v>N/A</v>
      </c>
      <c r="CC4" s="146" t="str">
        <f ca="1">RESULTADOS!BG21</f>
        <v>Falla</v>
      </c>
      <c r="CD4" s="146" t="str">
        <f ca="1">RESULTADOS!BH21</f>
        <v>N/A</v>
      </c>
      <c r="CE4" s="146" t="str">
        <f ca="1">RESULTADOS!BI21</f>
        <v>N/A</v>
      </c>
      <c r="CF4" s="146" t="str">
        <f ca="1">RESULTADOS!BJ21</f>
        <v>Pasa</v>
      </c>
      <c r="CG4" s="146" t="str">
        <f ca="1">RESULTADOS!BK21</f>
        <v>Pasa</v>
      </c>
      <c r="CH4" s="146" t="str">
        <f ca="1">RESULTADOS!BL21</f>
        <v>Pasa</v>
      </c>
      <c r="CI4" s="146" t="str">
        <f ca="1">RESULTADOS!BM21</f>
        <v>Pasa</v>
      </c>
      <c r="CJ4" s="146" t="str">
        <f ca="1">RESULTADOS!BN21</f>
        <v>Pasa</v>
      </c>
      <c r="CK4" s="146" t="str">
        <f ca="1">RESULTADOS!BO21</f>
        <v>Pasa</v>
      </c>
      <c r="CL4" s="146" t="str">
        <f ca="1">RESULTADOS!BP21</f>
        <v>N/A</v>
      </c>
      <c r="CM4" s="146" t="str">
        <f ca="1">RESULTADOS!BQ21</f>
        <v>N/A</v>
      </c>
      <c r="CN4" s="146" t="str">
        <f ca="1">RESULTADOS!BR21</f>
        <v>Pasa</v>
      </c>
      <c r="CO4" s="146" t="str">
        <f ca="1">RESULTADOS!BS21</f>
        <v>N/A</v>
      </c>
      <c r="CP4" s="146" t="str">
        <f ca="1">RESULTADOS!BT21</f>
        <v>Falla</v>
      </c>
      <c r="CQ4" s="146" t="str">
        <f ca="1">RESULTADOS!BU21</f>
        <v>N/A</v>
      </c>
      <c r="CR4" s="146" t="str">
        <f ca="1">RESULTADOS!BV21</f>
        <v>Pasa</v>
      </c>
      <c r="CS4" s="146" t="str">
        <f ca="1">RESULTADOS!BW21</f>
        <v>N/A</v>
      </c>
      <c r="CT4" s="146" t="str">
        <f ca="1">RESULTADOS!BX21</f>
        <v>Pasa</v>
      </c>
      <c r="CU4" s="146" t="str">
        <f ca="1">RESULTADOS!BY21</f>
        <v>Pasa</v>
      </c>
      <c r="CV4" s="146" t="str">
        <f ca="1">RESULTADOS!BZ21</f>
        <v>N/A</v>
      </c>
      <c r="CW4" s="146" t="str">
        <f ca="1">RESULTADOS!CA21</f>
        <v>Falla</v>
      </c>
      <c r="CX4" s="146" t="str">
        <f ca="1">RESULTADOS!CB21</f>
        <v>N/A</v>
      </c>
      <c r="CY4" s="146" t="str">
        <f ca="1">RESULTADOS!CC21</f>
        <v>N/A</v>
      </c>
      <c r="CZ4" s="146" t="str">
        <f ca="1">RESULTADOS!CD21</f>
        <v>Pasa</v>
      </c>
      <c r="DA4" s="146" t="str">
        <f ca="1">RESULTADOS!CE21</f>
        <v>Pasa</v>
      </c>
      <c r="DB4" s="146" t="str">
        <f ca="1">RESULTADOS!CF21</f>
        <v>N/A</v>
      </c>
      <c r="DC4" s="146" t="str">
        <f ca="1">RESULTADOS!CG21</f>
        <v>Falla</v>
      </c>
      <c r="DD4" s="146" t="str">
        <f ca="1">RESULTADOS!CH21</f>
        <v>N/A</v>
      </c>
      <c r="DE4" s="146" t="str">
        <f ca="1">RESULTADOS!CI21</f>
        <v>N/A</v>
      </c>
      <c r="DF4" s="146" t="str">
        <f ca="1">RESULTADOS!CJ21</f>
        <v>N/A</v>
      </c>
      <c r="DG4" s="146" t="str">
        <f ca="1">RESULTADOS!CK21</f>
        <v>N/A</v>
      </c>
      <c r="DH4" s="146" t="str">
        <f ca="1">RESULTADOS!CL21</f>
        <v>N/A</v>
      </c>
      <c r="DI4" s="146" t="str">
        <f ca="1">RESULTADOS!CM21</f>
        <v>N/A</v>
      </c>
      <c r="DJ4" s="146" t="str">
        <f ca="1">RESULTADOS!CN21</f>
        <v>Pasa</v>
      </c>
      <c r="DK4" s="146" t="str">
        <f ca="1">RESULTADOS!CO21</f>
        <v>Falla</v>
      </c>
      <c r="DL4" s="146" t="str">
        <f ca="1">RESULTADOS!CP21</f>
        <v>Pasa</v>
      </c>
      <c r="DM4" s="146" t="str">
        <f ca="1">RESULTADOS!CQ21</f>
        <v>Falla</v>
      </c>
      <c r="DN4" s="146" t="str">
        <f ca="1">RESULTADOS!CR21</f>
        <v>Falla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136</v>
      </c>
      <c r="D5" s="147">
        <f>'01.Definición de ámbito'!C13</f>
        <v>0</v>
      </c>
      <c r="E5" s="144" t="s">
        <v>302</v>
      </c>
      <c r="F5" s="147" t="str">
        <f>'02.Tecnologías'!C12</f>
        <v>Sí</v>
      </c>
      <c r="G5" s="147">
        <f>'02.Tecnologías'!K15</f>
        <v>0</v>
      </c>
      <c r="H5" s="147">
        <f>'02.Tecnologías'!L15</f>
        <v>0</v>
      </c>
      <c r="I5" s="206"/>
      <c r="J5" s="206"/>
      <c r="K5" s="153" t="s">
        <v>151</v>
      </c>
      <c r="L5" s="207" t="str">
        <f>'03.Muestra'!D52</f>
        <v>SI</v>
      </c>
      <c r="M5" s="144"/>
      <c r="T5" s="148">
        <f>RESULTADOS!B22</f>
        <v>3</v>
      </c>
      <c r="U5" s="148" t="str">
        <f>RESULTADOS!C22</f>
        <v>Consultas externas</v>
      </c>
      <c r="V5" s="148" t="str">
        <f t="shared" si="0"/>
        <v>Página web</v>
      </c>
      <c r="W5" s="148" t="str">
        <v>Pagina tipo</v>
      </c>
      <c r="X5" s="148" t="str">
        <f>RESULTADOS!D22</f>
        <v>https://www.comunidad.madrid/hospital/clinicosancarlos/ciudadanos/consultas-externas</v>
      </c>
      <c r="Y5" s="148" t="str">
        <v>Home - Ciudadanos - Consultas externas</v>
      </c>
      <c r="Z5" s="237">
        <v>0</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Falla</v>
      </c>
      <c r="BJ5" s="146" t="str">
        <f ca="1">RESULTADOS!AN22</f>
        <v>Falla</v>
      </c>
      <c r="BK5" s="146" t="str">
        <f ca="1">RESULTADOS!AO22</f>
        <v>Falla</v>
      </c>
      <c r="BL5" s="146" t="str">
        <f ca="1">RESULTADOS!AP22</f>
        <v>Pasa</v>
      </c>
      <c r="BM5" s="146" t="str">
        <f ca="1">RESULTADOS!AQ22</f>
        <v>N/A</v>
      </c>
      <c r="BN5" s="146" t="str">
        <f ca="1">RESULTADOS!AR22</f>
        <v>N/A</v>
      </c>
      <c r="BO5" s="146" t="str">
        <f ca="1">RESULTADOS!AS22</f>
        <v>N/A</v>
      </c>
      <c r="BP5" s="146" t="str">
        <f ca="1">RESULTADOS!AT22</f>
        <v>Pasa</v>
      </c>
      <c r="BQ5" s="146" t="str">
        <f ca="1">RESULTADOS!AU22</f>
        <v>N/A</v>
      </c>
      <c r="BR5" s="146" t="str">
        <f ca="1">RESULTADOS!AV22</f>
        <v>Pasa</v>
      </c>
      <c r="BS5" s="146" t="str">
        <f ca="1">RESULTADOS!AW22</f>
        <v>Falla</v>
      </c>
      <c r="BT5" s="146" t="str">
        <f ca="1">RESULTADOS!AX22</f>
        <v>N/A</v>
      </c>
      <c r="BU5" s="146" t="str">
        <f ca="1">RESULTADOS!AY22</f>
        <v>Pasa</v>
      </c>
      <c r="BV5" s="146" t="str">
        <f ca="1">RESULTADOS!AZ22</f>
        <v>Falla</v>
      </c>
      <c r="BW5" s="146" t="str">
        <f ca="1">RESULTADOS!BA22</f>
        <v>Pasa</v>
      </c>
      <c r="BX5" s="146" t="str">
        <f ca="1">RESULTADOS!BB22</f>
        <v>Pasa</v>
      </c>
      <c r="BY5" s="146" t="str">
        <f ca="1">RESULTADOS!BC22</f>
        <v>Pasa</v>
      </c>
      <c r="BZ5" s="146" t="str">
        <f ca="1">RESULTADOS!BD22</f>
        <v>Pasa</v>
      </c>
      <c r="CA5" s="146" t="str">
        <f ca="1">RESULTADOS!BE22</f>
        <v>N/A</v>
      </c>
      <c r="CB5" s="146" t="str">
        <f ca="1">RESULTADOS!BF22</f>
        <v>N/A</v>
      </c>
      <c r="CC5" s="146" t="str">
        <f ca="1">RESULTADOS!BG22</f>
        <v>N/A</v>
      </c>
      <c r="CD5" s="146" t="str">
        <f ca="1">RESULTADOS!BH22</f>
        <v>N/A</v>
      </c>
      <c r="CE5" s="146" t="str">
        <f ca="1">RESULTADOS!BI22</f>
        <v>N/A</v>
      </c>
      <c r="CF5" s="146" t="str">
        <f ca="1">RESULTADOS!BJ22</f>
        <v>Pasa</v>
      </c>
      <c r="CG5" s="146" t="str">
        <f ca="1">RESULTADOS!BK22</f>
        <v>Pasa</v>
      </c>
      <c r="CH5" s="146" t="str">
        <f ca="1">RESULTADOS!BL22</f>
        <v>Pasa</v>
      </c>
      <c r="CI5" s="146" t="str">
        <f ca="1">RESULTADOS!BM22</f>
        <v>Pasa</v>
      </c>
      <c r="CJ5" s="146" t="str">
        <f ca="1">RESULTADOS!BN22</f>
        <v>Pasa</v>
      </c>
      <c r="CK5" s="146" t="str">
        <f ca="1">RESULTADOS!BO22</f>
        <v>Pasa</v>
      </c>
      <c r="CL5" s="146" t="str">
        <f ca="1">RESULTADOS!BP22</f>
        <v>N/A</v>
      </c>
      <c r="CM5" s="146" t="str">
        <f ca="1">RESULTADOS!BQ22</f>
        <v>N/A</v>
      </c>
      <c r="CN5" s="146" t="str">
        <f ca="1">RESULTADOS!BR22</f>
        <v>Pasa</v>
      </c>
      <c r="CO5" s="146" t="str">
        <f ca="1">RESULTADOS!BS22</f>
        <v>N/A</v>
      </c>
      <c r="CP5" s="146" t="str">
        <f ca="1">RESULTADOS!BT22</f>
        <v>Falla</v>
      </c>
      <c r="CQ5" s="146" t="str">
        <f ca="1">RESULTADOS!BU22</f>
        <v>N/A</v>
      </c>
      <c r="CR5" s="146" t="str">
        <f ca="1">RESULTADOS!BV22</f>
        <v>Pasa</v>
      </c>
      <c r="CS5" s="146" t="str">
        <f ca="1">RESULTADOS!BW22</f>
        <v>N/A</v>
      </c>
      <c r="CT5" s="146" t="str">
        <f ca="1">RESULTADOS!BX22</f>
        <v>Pasa</v>
      </c>
      <c r="CU5" s="146" t="str">
        <f ca="1">RESULTADOS!BY22</f>
        <v>Pasa</v>
      </c>
      <c r="CV5" s="146" t="str">
        <f ca="1">RESULTADOS!BZ22</f>
        <v>N/A</v>
      </c>
      <c r="CW5" s="146" t="str">
        <f ca="1">RESULTADOS!CA22</f>
        <v>Falla</v>
      </c>
      <c r="CX5" s="146" t="str">
        <f ca="1">RESULTADOS!CB22</f>
        <v>N/A</v>
      </c>
      <c r="CY5" s="146" t="str">
        <f ca="1">RESULTADOS!CC22</f>
        <v>N/A</v>
      </c>
      <c r="CZ5" s="146" t="str">
        <f ca="1">RESULTADOS!CD22</f>
        <v>Pasa</v>
      </c>
      <c r="DA5" s="146" t="str">
        <f ca="1">RESULTADOS!CE22</f>
        <v>Pasa</v>
      </c>
      <c r="DB5" s="146" t="str">
        <f ca="1">RESULTADOS!CF22</f>
        <v>N/A</v>
      </c>
      <c r="DC5" s="146" t="str">
        <f ca="1">RESULTADOS!CG22</f>
        <v>Falla</v>
      </c>
      <c r="DD5" s="146" t="str">
        <f ca="1">RESULTADOS!CH22</f>
        <v>N/A</v>
      </c>
      <c r="DE5" s="146" t="str">
        <f ca="1">RESULTADOS!CI22</f>
        <v>N/A</v>
      </c>
      <c r="DF5" s="146" t="str">
        <f ca="1">RESULTADOS!CJ22</f>
        <v>N/A</v>
      </c>
      <c r="DG5" s="146" t="str">
        <f ca="1">RESULTADOS!CK22</f>
        <v>N/A</v>
      </c>
      <c r="DH5" s="146" t="str">
        <f ca="1">RESULTADOS!CL22</f>
        <v>N/A</v>
      </c>
      <c r="DI5" s="146" t="str">
        <f ca="1">RESULTADOS!CM22</f>
        <v>N/A</v>
      </c>
      <c r="DJ5" s="146" t="str">
        <f ca="1">RESULTADOS!CN22</f>
        <v>Pasa</v>
      </c>
      <c r="DK5" s="146" t="str">
        <f ca="1">RESULTADOS!CO22</f>
        <v>Falla</v>
      </c>
      <c r="DL5" s="146" t="str">
        <f ca="1">RESULTADOS!CP22</f>
        <v>Pasa</v>
      </c>
      <c r="DM5" s="146" t="str">
        <f ca="1">RESULTADOS!CQ22</f>
        <v>Falla</v>
      </c>
      <c r="DN5" s="146" t="str">
        <f ca="1">RESULTADOS!CR22</f>
        <v>Falla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281</v>
      </c>
      <c r="D6" s="147">
        <f>'01.Definición de ámbito'!C17</f>
        <v>0</v>
      </c>
      <c r="E6" s="144" t="s">
        <v>307</v>
      </c>
      <c r="F6" s="147" t="str">
        <f>'02.Tecnologías'!C13</f>
        <v>Sí</v>
      </c>
      <c r="G6" s="147">
        <f>'02.Tecnologías'!K16</f>
        <v>0</v>
      </c>
      <c r="H6" s="147">
        <f>'02.Tecnologías'!L16</f>
        <v>0</v>
      </c>
      <c r="I6" s="206"/>
      <c r="J6" s="206"/>
      <c r="K6" s="144"/>
      <c r="L6" s="144"/>
      <c r="M6" s="144"/>
      <c r="T6" s="148">
        <f>RESULTADOS!B23</f>
        <v>4</v>
      </c>
      <c r="U6" s="148" t="str">
        <f>RESULTADOS!C23</f>
        <v>Donación</v>
      </c>
      <c r="V6" s="148" t="str">
        <f t="shared" si="0"/>
        <v>Página web</v>
      </c>
      <c r="W6" s="148" t="str">
        <v>Pagina tipo</v>
      </c>
      <c r="X6" s="148" t="str">
        <f>RESULTADOS!D23</f>
        <v>https://www.comunidad.madrid/hospital/clinicosancarlos/ciudadanos/donacion-0</v>
      </c>
      <c r="Y6" s="148" t="str">
        <v>Home - Ciudadanos - Donación</v>
      </c>
      <c r="Z6" s="237" t="str">
        <v xml:space="preserve"> </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Pasa</v>
      </c>
      <c r="BG6" s="146" t="str">
        <f ca="1">RESULTADOS!AK23</f>
        <v>N/A</v>
      </c>
      <c r="BH6" s="146" t="str">
        <f ca="1">RESULTADOS!AL23</f>
        <v>N/A</v>
      </c>
      <c r="BI6" s="146" t="str">
        <f ca="1">RESULTADOS!AM23</f>
        <v>Falla</v>
      </c>
      <c r="BJ6" s="146" t="str">
        <f ca="1">RESULTADOS!AN23</f>
        <v>Falla</v>
      </c>
      <c r="BK6" s="146" t="str">
        <f ca="1">RESULTADOS!AO23</f>
        <v>Falla</v>
      </c>
      <c r="BL6" s="146" t="str">
        <f ca="1">RESULTADOS!AP23</f>
        <v>Pasa</v>
      </c>
      <c r="BM6" s="146" t="str">
        <f ca="1">RESULTADOS!AQ23</f>
        <v>N/A</v>
      </c>
      <c r="BN6" s="146" t="str">
        <f ca="1">RESULTADOS!AR23</f>
        <v>N/A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Pasa</v>
      </c>
      <c r="BV6" s="146" t="str">
        <f ca="1">RESULTADOS!AZ23</f>
        <v>Falla</v>
      </c>
      <c r="BW6" s="146" t="str">
        <f ca="1">RESULTADOS!BA23</f>
        <v>Pasa</v>
      </c>
      <c r="BX6" s="146" t="str">
        <f ca="1">RESULTADOS!BB23</f>
        <v>Pasa</v>
      </c>
      <c r="BY6" s="146" t="str">
        <f ca="1">RESULTADOS!BC23</f>
        <v>Pasa</v>
      </c>
      <c r="BZ6" s="146" t="str">
        <f ca="1">RESULTADOS!BD23</f>
        <v>Pasa</v>
      </c>
      <c r="CA6" s="146" t="str">
        <f ca="1">RESULTADOS!BE23</f>
        <v>N/A</v>
      </c>
      <c r="CB6" s="146" t="str">
        <f ca="1">RESULTADOS!BF23</f>
        <v>N/A</v>
      </c>
      <c r="CC6" s="146" t="str">
        <f ca="1">RESULTADOS!BG23</f>
        <v>N/A</v>
      </c>
      <c r="CD6" s="146" t="str">
        <f ca="1">RESULTADOS!BH23</f>
        <v>N/A</v>
      </c>
      <c r="CE6" s="146" t="str">
        <f ca="1">RESULTADOS!BI23</f>
        <v>N/A</v>
      </c>
      <c r="CF6" s="146" t="str">
        <f ca="1">RESULTADOS!BJ23</f>
        <v>Pasa</v>
      </c>
      <c r="CG6" s="146" t="str">
        <f ca="1">RESULTADOS!BK23</f>
        <v>Pasa</v>
      </c>
      <c r="CH6" s="146" t="str">
        <f ca="1">RESULTADOS!BL23</f>
        <v>Pasa</v>
      </c>
      <c r="CI6" s="146" t="str">
        <f ca="1">RESULTADOS!BM23</f>
        <v>Pasa</v>
      </c>
      <c r="CJ6" s="146" t="str">
        <f ca="1">RESULTADOS!BN23</f>
        <v>Pasa</v>
      </c>
      <c r="CK6" s="146" t="str">
        <f ca="1">RESULTADOS!BO23</f>
        <v>Pasa</v>
      </c>
      <c r="CL6" s="146" t="str">
        <f ca="1">RESULTADOS!BP23</f>
        <v>N/A</v>
      </c>
      <c r="CM6" s="146" t="str">
        <f ca="1">RESULTADOS!BQ23</f>
        <v>N/A</v>
      </c>
      <c r="CN6" s="146" t="str">
        <f ca="1">RESULTADOS!BR23</f>
        <v>Pasa</v>
      </c>
      <c r="CO6" s="146" t="str">
        <f ca="1">RESULTADOS!BS23</f>
        <v>N/A</v>
      </c>
      <c r="CP6" s="146" t="str">
        <f ca="1">RESULTADOS!BT23</f>
        <v>Falla</v>
      </c>
      <c r="CQ6" s="146" t="str">
        <f ca="1">RESULTADOS!BU23</f>
        <v>N/A</v>
      </c>
      <c r="CR6" s="146" t="str">
        <f ca="1">RESULTADOS!BV23</f>
        <v>Pasa</v>
      </c>
      <c r="CS6" s="146" t="str">
        <f ca="1">RESULTADOS!BW23</f>
        <v>N/A</v>
      </c>
      <c r="CT6" s="146" t="str">
        <f ca="1">RESULTADOS!BX23</f>
        <v>Pasa</v>
      </c>
      <c r="CU6" s="146" t="str">
        <f ca="1">RESULTADOS!BY23</f>
        <v>Pasa</v>
      </c>
      <c r="CV6" s="146" t="str">
        <f ca="1">RESULTADOS!BZ23</f>
        <v>N/A</v>
      </c>
      <c r="CW6" s="146" t="str">
        <f ca="1">RESULTADOS!CA23</f>
        <v>Falla</v>
      </c>
      <c r="CX6" s="146" t="str">
        <f ca="1">RESULTADOS!CB23</f>
        <v>N/A</v>
      </c>
      <c r="CY6" s="146" t="str">
        <f ca="1">RESULTADOS!CC23</f>
        <v>N/A</v>
      </c>
      <c r="CZ6" s="146" t="str">
        <f ca="1">RESULTADOS!CD23</f>
        <v>Pasa</v>
      </c>
      <c r="DA6" s="146" t="str">
        <f ca="1">RESULTADOS!CE23</f>
        <v>Pasa</v>
      </c>
      <c r="DB6" s="146" t="str">
        <f ca="1">RESULTADOS!CF23</f>
        <v>N/A</v>
      </c>
      <c r="DC6" s="146" t="str">
        <f ca="1">RESULTADOS!CG23</f>
        <v>Falla</v>
      </c>
      <c r="DD6" s="146" t="str">
        <f ca="1">RESULTADOS!CH23</f>
        <v>N/A</v>
      </c>
      <c r="DE6" s="146" t="str">
        <f ca="1">RESULTADOS!CI23</f>
        <v>N/A</v>
      </c>
      <c r="DF6" s="146" t="str">
        <f ca="1">RESULTADOS!CJ23</f>
        <v>N/A</v>
      </c>
      <c r="DG6" s="146" t="str">
        <f ca="1">RESULTADOS!CK23</f>
        <v>N/A</v>
      </c>
      <c r="DH6" s="146" t="str">
        <f ca="1">RESULTADOS!CL23</f>
        <v>N/A</v>
      </c>
      <c r="DI6" s="146" t="str">
        <f ca="1">RESULTADOS!CM23</f>
        <v>N/A</v>
      </c>
      <c r="DJ6" s="146" t="str">
        <f ca="1">RESULTADOS!CN23</f>
        <v>Pasa</v>
      </c>
      <c r="DK6" s="146" t="str">
        <f ca="1">RESULTADOS!CO23</f>
        <v>Falla</v>
      </c>
      <c r="DL6" s="146" t="str">
        <f ca="1">RESULTADOS!CP23</f>
        <v>Pasa</v>
      </c>
      <c r="DM6" s="146" t="str">
        <f ca="1">RESULTADOS!CQ23</f>
        <v>Falla</v>
      </c>
      <c r="DN6" s="146" t="str">
        <f ca="1">RESULTADOS!CR23</f>
        <v>Falla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137</v>
      </c>
      <c r="D7" s="147">
        <f>'01.Definición de ámbito'!C19</f>
        <v>0</v>
      </c>
      <c r="E7" s="144" t="s">
        <v>294</v>
      </c>
      <c r="F7" s="147" t="str">
        <f>'02.Tecnologías'!F9</f>
        <v>No</v>
      </c>
      <c r="G7" s="147">
        <f>'02.Tecnologías'!K17</f>
        <v>0</v>
      </c>
      <c r="H7" s="147">
        <f>'02.Tecnologías'!L17</f>
        <v>0</v>
      </c>
      <c r="I7" s="206"/>
      <c r="J7" s="206"/>
      <c r="K7" s="144"/>
      <c r="L7" s="144"/>
      <c r="M7" s="144"/>
      <c r="T7" s="148">
        <f>RESULTADOS!B24</f>
        <v>5</v>
      </c>
      <c r="U7" s="148" t="str">
        <f>RESULTADOS!C24</f>
        <v>Profesionales</v>
      </c>
      <c r="V7" s="148" t="str">
        <f t="shared" si="0"/>
        <v>Página web</v>
      </c>
      <c r="W7" s="148" t="str">
        <v>Pagina tipo</v>
      </c>
      <c r="X7" s="148" t="str">
        <f>RESULTADOS!D24</f>
        <v>https://www.comunidad.madrid/hospital/clinicosancarlos/profesionales</v>
      </c>
      <c r="Y7" s="148" t="str">
        <v>Home - Profesionales</v>
      </c>
      <c r="Z7" s="237">
        <v>0</v>
      </c>
      <c r="AA7" s="146" t="str">
        <f ca="1">RESULTADOS!E24</f>
        <v>N/A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Falla</v>
      </c>
      <c r="BJ7" s="146" t="str">
        <f ca="1">RESULTADOS!AN24</f>
        <v>Falla</v>
      </c>
      <c r="BK7" s="146" t="str">
        <f ca="1">RESULTADOS!AO24</f>
        <v>Falla</v>
      </c>
      <c r="BL7" s="146" t="str">
        <f ca="1">RESULTADOS!AP24</f>
        <v>Pasa</v>
      </c>
      <c r="BM7" s="146" t="str">
        <f ca="1">RESULTADOS!AQ24</f>
        <v>N/A</v>
      </c>
      <c r="BN7" s="146" t="str">
        <f ca="1">RESULTADOS!AR24</f>
        <v>N/A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Pasa</v>
      </c>
      <c r="BV7" s="146" t="str">
        <f ca="1">RESULTADOS!AZ24</f>
        <v>Pasa</v>
      </c>
      <c r="BW7" s="146" t="str">
        <f ca="1">RESULTADOS!BA24</f>
        <v>Pasa</v>
      </c>
      <c r="BX7" s="146" t="str">
        <f ca="1">RESULTADOS!BB24</f>
        <v>Pasa</v>
      </c>
      <c r="BY7" s="146" t="str">
        <f ca="1">RESULTADOS!BC24</f>
        <v>Pasa</v>
      </c>
      <c r="BZ7" s="146" t="str">
        <f ca="1">RESULTADOS!BD24</f>
        <v>Pasa</v>
      </c>
      <c r="CA7" s="146" t="str">
        <f ca="1">RESULTADOS!BE24</f>
        <v>N/A</v>
      </c>
      <c r="CB7" s="146" t="str">
        <f ca="1">RESULTADOS!BF24</f>
        <v>N/A</v>
      </c>
      <c r="CC7" s="146" t="str">
        <f ca="1">RESULTADOS!BG24</f>
        <v>Falla</v>
      </c>
      <c r="CD7" s="146" t="str">
        <f ca="1">RESULTADOS!BH24</f>
        <v>N/A</v>
      </c>
      <c r="CE7" s="146" t="str">
        <f ca="1">RESULTADOS!BI24</f>
        <v>N/A</v>
      </c>
      <c r="CF7" s="146" t="str">
        <f ca="1">RESULTADOS!BJ24</f>
        <v>Pasa</v>
      </c>
      <c r="CG7" s="146" t="str">
        <f ca="1">RESULTADOS!BK24</f>
        <v>Pasa</v>
      </c>
      <c r="CH7" s="146" t="str">
        <f ca="1">RESULTADOS!BL24</f>
        <v>Pasa</v>
      </c>
      <c r="CI7" s="146" t="str">
        <f ca="1">RESULTADOS!BM24</f>
        <v>Pasa</v>
      </c>
      <c r="CJ7" s="146" t="str">
        <f ca="1">RESULTADOS!BN24</f>
        <v>Pasa</v>
      </c>
      <c r="CK7" s="146" t="str">
        <f ca="1">RESULTADOS!BO24</f>
        <v>Pasa</v>
      </c>
      <c r="CL7" s="146" t="str">
        <f ca="1">RESULTADOS!BP24</f>
        <v>N/A</v>
      </c>
      <c r="CM7" s="146" t="str">
        <f ca="1">RESULTADOS!BQ24</f>
        <v>N/A</v>
      </c>
      <c r="CN7" s="146" t="str">
        <f ca="1">RESULTADOS!BR24</f>
        <v>Pasa</v>
      </c>
      <c r="CO7" s="146" t="str">
        <f ca="1">RESULTADOS!BS24</f>
        <v>N/A</v>
      </c>
      <c r="CP7" s="146" t="str">
        <f ca="1">RESULTADOS!BT24</f>
        <v>Falla</v>
      </c>
      <c r="CQ7" s="146" t="str">
        <f ca="1">RESULTADOS!BU24</f>
        <v>N/A</v>
      </c>
      <c r="CR7" s="146" t="str">
        <f ca="1">RESULTADOS!BV24</f>
        <v>Pasa</v>
      </c>
      <c r="CS7" s="146" t="str">
        <f ca="1">RESULTADOS!BW24</f>
        <v>N/A</v>
      </c>
      <c r="CT7" s="146" t="str">
        <f ca="1">RESULTADOS!BX24</f>
        <v>Pasa</v>
      </c>
      <c r="CU7" s="146" t="str">
        <f ca="1">RESULTADOS!BY24</f>
        <v>Pasa</v>
      </c>
      <c r="CV7" s="146" t="str">
        <f ca="1">RESULTADOS!BZ24</f>
        <v>N/A</v>
      </c>
      <c r="CW7" s="146" t="str">
        <f ca="1">RESULTADOS!CA24</f>
        <v>Falla</v>
      </c>
      <c r="CX7" s="146" t="str">
        <f ca="1">RESULTADOS!CB24</f>
        <v>N/A</v>
      </c>
      <c r="CY7" s="146" t="str">
        <f ca="1">RESULTADOS!CC24</f>
        <v>N/A</v>
      </c>
      <c r="CZ7" s="146" t="str">
        <f ca="1">RESULTADOS!CD24</f>
        <v>Pasa</v>
      </c>
      <c r="DA7" s="146" t="str">
        <f ca="1">RESULTADOS!CE24</f>
        <v>Pasa</v>
      </c>
      <c r="DB7" s="146" t="str">
        <f ca="1">RESULTADOS!CF24</f>
        <v>N/A</v>
      </c>
      <c r="DC7" s="146" t="str">
        <f ca="1">RESULTADOS!CG24</f>
        <v>Falla</v>
      </c>
      <c r="DD7" s="146" t="str">
        <f ca="1">RESULTADOS!CH24</f>
        <v>N/A</v>
      </c>
      <c r="DE7" s="146" t="str">
        <f ca="1">RESULTADOS!CI24</f>
        <v>N/A</v>
      </c>
      <c r="DF7" s="146" t="str">
        <f ca="1">RESULTADOS!CJ24</f>
        <v>N/A</v>
      </c>
      <c r="DG7" s="146" t="str">
        <f ca="1">RESULTADOS!CK24</f>
        <v>N/A</v>
      </c>
      <c r="DH7" s="146" t="str">
        <f ca="1">RESULTADOS!CL24</f>
        <v>N/A</v>
      </c>
      <c r="DI7" s="146" t="str">
        <f ca="1">RESULTADOS!CM24</f>
        <v>N/A</v>
      </c>
      <c r="DJ7" s="146" t="str">
        <f ca="1">RESULTADOS!CN24</f>
        <v>Pasa</v>
      </c>
      <c r="DK7" s="146" t="str">
        <f ca="1">RESULTADOS!CO24</f>
        <v>Falla</v>
      </c>
      <c r="DL7" s="146" t="str">
        <f ca="1">RESULTADOS!CP24</f>
        <v>Pasa</v>
      </c>
      <c r="DM7" s="146" t="str">
        <f ca="1">RESULTADOS!CQ24</f>
        <v>Falla</v>
      </c>
      <c r="DN7" s="146" t="str">
        <f ca="1">RESULTADOS!CR24</f>
        <v>Falla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282</v>
      </c>
      <c r="D8" s="147">
        <f>'01.Definición de ámbito'!C21</f>
        <v>0</v>
      </c>
      <c r="E8" s="144" t="s">
        <v>297</v>
      </c>
      <c r="F8" s="147" t="str">
        <f>'02.Tecnologías'!F10</f>
        <v>No</v>
      </c>
      <c r="G8" s="147">
        <f>'02.Tecnologías'!K18</f>
        <v>0</v>
      </c>
      <c r="H8" s="147">
        <f>'02.Tecnologías'!L18</f>
        <v>0</v>
      </c>
      <c r="I8" s="206"/>
      <c r="J8" s="206"/>
      <c r="K8" s="144"/>
      <c r="L8" s="144"/>
      <c r="M8" s="144"/>
      <c r="T8" s="148">
        <f>RESULTADOS!B25</f>
        <v>6</v>
      </c>
      <c r="U8" s="148" t="str">
        <f>RESULTADOS!C25</f>
        <v>Docencia</v>
      </c>
      <c r="V8" s="148" t="str">
        <f t="shared" si="0"/>
        <v>Página web</v>
      </c>
      <c r="W8" s="148" t="str">
        <v>Pagina tipo</v>
      </c>
      <c r="X8" s="148" t="str">
        <f>RESULTADOS!D25</f>
        <v>https://www.comunidad.madrid/hospital/clinicosancarlos/profesionales/docencia</v>
      </c>
      <c r="Y8" s="148" t="str">
        <v>Home - Profesionales - Docencia</v>
      </c>
      <c r="Z8" s="237">
        <v>0</v>
      </c>
      <c r="AA8" s="146" t="str">
        <f ca="1">RESULTADOS!E25</f>
        <v>N/A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Falla</v>
      </c>
      <c r="BJ8" s="146" t="str">
        <f ca="1">RESULTADOS!AN25</f>
        <v>Falla</v>
      </c>
      <c r="BK8" s="146" t="str">
        <f ca="1">RESULTADOS!AO25</f>
        <v>Falla</v>
      </c>
      <c r="BL8" s="146" t="str">
        <f ca="1">RESULTADOS!AP25</f>
        <v>Pasa</v>
      </c>
      <c r="BM8" s="146" t="str">
        <f ca="1">RESULTADOS!AQ25</f>
        <v>N/A</v>
      </c>
      <c r="BN8" s="146" t="str">
        <f ca="1">RESULTADOS!AR25</f>
        <v>N/A</v>
      </c>
      <c r="BO8" s="146" t="str">
        <f ca="1">RESULTADOS!AS25</f>
        <v>N/A</v>
      </c>
      <c r="BP8" s="146" t="str">
        <f ca="1">RESULTADOS!AT25</f>
        <v>Pasa</v>
      </c>
      <c r="BQ8" s="146" t="str">
        <f ca="1">RESULTADOS!AU25</f>
        <v>N/A</v>
      </c>
      <c r="BR8" s="146" t="str">
        <f ca="1">RESULTADOS!AV25</f>
        <v>Pasa</v>
      </c>
      <c r="BS8" s="146" t="str">
        <f ca="1">RESULTADOS!AW25</f>
        <v>Falla</v>
      </c>
      <c r="BT8" s="146" t="str">
        <f ca="1">RESULTADOS!AX25</f>
        <v>N/A</v>
      </c>
      <c r="BU8" s="146" t="str">
        <f ca="1">RESULTADOS!AY25</f>
        <v>Pasa</v>
      </c>
      <c r="BV8" s="146" t="str">
        <f ca="1">RESULTADOS!AZ25</f>
        <v>Falla</v>
      </c>
      <c r="BW8" s="146" t="str">
        <f ca="1">RESULTADOS!BA25</f>
        <v>Pasa</v>
      </c>
      <c r="BX8" s="146" t="str">
        <f ca="1">RESULTADOS!BB25</f>
        <v>Pasa</v>
      </c>
      <c r="BY8" s="146" t="str">
        <f ca="1">RESULTADOS!BC25</f>
        <v>Pasa</v>
      </c>
      <c r="BZ8" s="146" t="str">
        <f ca="1">RESULTADOS!BD25</f>
        <v>Pasa</v>
      </c>
      <c r="CA8" s="146" t="str">
        <f ca="1">RESULTADOS!BE25</f>
        <v>N/A</v>
      </c>
      <c r="CB8" s="146" t="str">
        <f ca="1">RESULTADOS!BF25</f>
        <v>N/A</v>
      </c>
      <c r="CC8" s="146" t="str">
        <f ca="1">RESULTADOS!BG25</f>
        <v>N/A</v>
      </c>
      <c r="CD8" s="146" t="str">
        <f ca="1">RESULTADOS!BH25</f>
        <v>N/A</v>
      </c>
      <c r="CE8" s="146" t="str">
        <f ca="1">RESULTADOS!BI25</f>
        <v>N/A</v>
      </c>
      <c r="CF8" s="146" t="str">
        <f ca="1">RESULTADOS!BJ25</f>
        <v>Pasa</v>
      </c>
      <c r="CG8" s="146" t="str">
        <f ca="1">RESULTADOS!BK25</f>
        <v>Pasa</v>
      </c>
      <c r="CH8" s="146" t="str">
        <f ca="1">RESULTADOS!BL25</f>
        <v>Pasa</v>
      </c>
      <c r="CI8" s="146" t="str">
        <f ca="1">RESULTADOS!BM25</f>
        <v>Pasa</v>
      </c>
      <c r="CJ8" s="146" t="str">
        <f ca="1">RESULTADOS!BN25</f>
        <v>Pasa</v>
      </c>
      <c r="CK8" s="146" t="str">
        <f ca="1">RESULTADOS!BO25</f>
        <v>Pasa</v>
      </c>
      <c r="CL8" s="146" t="str">
        <f ca="1">RESULTADOS!BP25</f>
        <v>N/A</v>
      </c>
      <c r="CM8" s="146" t="str">
        <f ca="1">RESULTADOS!BQ25</f>
        <v>N/A</v>
      </c>
      <c r="CN8" s="146" t="str">
        <f ca="1">RESULTADOS!BR25</f>
        <v>Pasa</v>
      </c>
      <c r="CO8" s="146" t="str">
        <f ca="1">RESULTADOS!BS25</f>
        <v>N/A</v>
      </c>
      <c r="CP8" s="146" t="str">
        <f ca="1">RESULTADOS!BT25</f>
        <v>Falla</v>
      </c>
      <c r="CQ8" s="146" t="str">
        <f ca="1">RESULTADOS!BU25</f>
        <v>N/A</v>
      </c>
      <c r="CR8" s="146" t="str">
        <f ca="1">RESULTADOS!BV25</f>
        <v>Pasa</v>
      </c>
      <c r="CS8" s="146" t="str">
        <f ca="1">RESULTADOS!BW25</f>
        <v>N/A</v>
      </c>
      <c r="CT8" s="146" t="str">
        <f ca="1">RESULTADOS!BX25</f>
        <v>Pasa</v>
      </c>
      <c r="CU8" s="146" t="str">
        <f ca="1">RESULTADOS!BY25</f>
        <v>Pasa</v>
      </c>
      <c r="CV8" s="146" t="str">
        <f ca="1">RESULTADOS!BZ25</f>
        <v>N/A</v>
      </c>
      <c r="CW8" s="146" t="str">
        <f ca="1">RESULTADOS!CA25</f>
        <v>Falla</v>
      </c>
      <c r="CX8" s="146" t="str">
        <f ca="1">RESULTADOS!CB25</f>
        <v>N/A</v>
      </c>
      <c r="CY8" s="146" t="str">
        <f ca="1">RESULTADOS!CC25</f>
        <v>N/A</v>
      </c>
      <c r="CZ8" s="146" t="str">
        <f ca="1">RESULTADOS!CD25</f>
        <v>Pasa</v>
      </c>
      <c r="DA8" s="146" t="str">
        <f ca="1">RESULTADOS!CE25</f>
        <v>Pasa</v>
      </c>
      <c r="DB8" s="146" t="str">
        <f ca="1">RESULTADOS!CF25</f>
        <v>N/A</v>
      </c>
      <c r="DC8" s="146" t="str">
        <f ca="1">RESULTADOS!CG25</f>
        <v>Falla</v>
      </c>
      <c r="DD8" s="146" t="str">
        <f ca="1">RESULTADOS!CH25</f>
        <v>N/A</v>
      </c>
      <c r="DE8" s="146" t="str">
        <f ca="1">RESULTADOS!CI25</f>
        <v>N/A</v>
      </c>
      <c r="DF8" s="146" t="str">
        <f ca="1">RESULTADOS!CJ25</f>
        <v>N/A</v>
      </c>
      <c r="DG8" s="146" t="str">
        <f ca="1">RESULTADOS!CK25</f>
        <v>N/A</v>
      </c>
      <c r="DH8" s="146" t="str">
        <f ca="1">RESULTADOS!CL25</f>
        <v>N/A</v>
      </c>
      <c r="DI8" s="146" t="str">
        <f ca="1">RESULTADOS!CM25</f>
        <v>N/A</v>
      </c>
      <c r="DJ8" s="146" t="str">
        <f ca="1">RESULTADOS!CN25</f>
        <v>Pasa</v>
      </c>
      <c r="DK8" s="146" t="str">
        <f ca="1">RESULTADOS!CO25</f>
        <v>Falla</v>
      </c>
      <c r="DL8" s="146" t="str">
        <f ca="1">RESULTADOS!CP25</f>
        <v>Pasa</v>
      </c>
      <c r="DM8" s="146" t="str">
        <f ca="1">RESULTADOS!CQ25</f>
        <v>Falla</v>
      </c>
      <c r="DN8" s="146" t="str">
        <f ca="1">RESULTADOS!CR25</f>
        <v>Falla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283</v>
      </c>
      <c r="D9" s="147" t="str">
        <f>'01.Definición de ámbito'!C25</f>
        <v>Sitios web</v>
      </c>
      <c r="E9" s="144" t="s">
        <v>300</v>
      </c>
      <c r="F9" s="147" t="str">
        <f>'02.Tecnologías'!F11</f>
        <v>No</v>
      </c>
      <c r="G9" s="147">
        <f>'02.Tecnologías'!K19</f>
        <v>0</v>
      </c>
      <c r="H9" s="147">
        <f>'02.Tecnologías'!L19</f>
        <v>0</v>
      </c>
      <c r="I9" s="206"/>
      <c r="J9" s="206"/>
      <c r="K9" s="144"/>
      <c r="L9" s="144"/>
      <c r="M9" s="144"/>
      <c r="T9" s="148">
        <f>RESULTADOS!B26</f>
        <v>7</v>
      </c>
      <c r="U9" s="148" t="str">
        <f>RESULTADOS!C26</f>
        <v>Referencia</v>
      </c>
      <c r="V9" s="148" t="str">
        <f t="shared" si="0"/>
        <v>Página web</v>
      </c>
      <c r="W9" s="148" t="str">
        <v>Pagina tipo</v>
      </c>
      <c r="X9" s="148" t="str">
        <f>RESULTADOS!D26</f>
        <v>https://www.comunidad.madrid/hospital/clinicosancarlos/profesionales/unidades-referencia-nacional-redes-europeas</v>
      </c>
      <c r="Y9" s="148" t="str">
        <v>Home - Profesionales - Unidades de Referencia Nacional</v>
      </c>
      <c r="Z9" s="237">
        <v>0</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Falla</v>
      </c>
      <c r="BJ9" s="146" t="str">
        <f ca="1">RESULTADOS!AN26</f>
        <v>Falla</v>
      </c>
      <c r="BK9" s="146" t="str">
        <f ca="1">RESULTADOS!AO26</f>
        <v>Pasa</v>
      </c>
      <c r="BL9" s="146" t="str">
        <f ca="1">RESULTADOS!AP26</f>
        <v>Pasa</v>
      </c>
      <c r="BM9" s="146" t="str">
        <f ca="1">RESULTADOS!AQ26</f>
        <v>N/A</v>
      </c>
      <c r="BN9" s="146" t="str">
        <f ca="1">RESULTADOS!AR26</f>
        <v>N/A</v>
      </c>
      <c r="BO9" s="146" t="str">
        <f ca="1">RESULTADOS!AS26</f>
        <v>N/A</v>
      </c>
      <c r="BP9" s="146" t="str">
        <f ca="1">RESULTADOS!AT26</f>
        <v>Pasa</v>
      </c>
      <c r="BQ9" s="146" t="str">
        <f ca="1">RESULTADOS!AU26</f>
        <v>N/A</v>
      </c>
      <c r="BR9" s="146" t="str">
        <f ca="1">RESULTADOS!AV26</f>
        <v>Pasa</v>
      </c>
      <c r="BS9" s="146" t="str">
        <f ca="1">RESULTADOS!AW26</f>
        <v>Falla</v>
      </c>
      <c r="BT9" s="146" t="str">
        <f ca="1">RESULTADOS!AX26</f>
        <v>N/A</v>
      </c>
      <c r="BU9" s="146" t="str">
        <f ca="1">RESULTADOS!AY26</f>
        <v>Pasa</v>
      </c>
      <c r="BV9" s="146" t="str">
        <f ca="1">RESULTADOS!AZ26</f>
        <v>Falla</v>
      </c>
      <c r="BW9" s="146" t="str">
        <f ca="1">RESULTADOS!BA26</f>
        <v>Pasa</v>
      </c>
      <c r="BX9" s="146" t="str">
        <f ca="1">RESULTADOS!BB26</f>
        <v>Pasa</v>
      </c>
      <c r="BY9" s="146" t="str">
        <f ca="1">RESULTADOS!BC26</f>
        <v>Pasa</v>
      </c>
      <c r="BZ9" s="146" t="str">
        <f ca="1">RESULTADOS!BD26</f>
        <v>Pasa</v>
      </c>
      <c r="CA9" s="146" t="str">
        <f ca="1">RESULTADOS!BE26</f>
        <v>N/A</v>
      </c>
      <c r="CB9" s="146" t="str">
        <f ca="1">RESULTADOS!BF26</f>
        <v>N/A</v>
      </c>
      <c r="CC9" s="146" t="str">
        <f ca="1">RESULTADOS!BG26</f>
        <v>N/A</v>
      </c>
      <c r="CD9" s="146" t="str">
        <f ca="1">RESULTADOS!BH26</f>
        <v>N/A</v>
      </c>
      <c r="CE9" s="146" t="str">
        <f ca="1">RESULTADOS!BI26</f>
        <v>N/A</v>
      </c>
      <c r="CF9" s="146" t="str">
        <f ca="1">RESULTADOS!BJ26</f>
        <v>Pasa</v>
      </c>
      <c r="CG9" s="146" t="str">
        <f ca="1">RESULTADOS!BK26</f>
        <v>Pasa</v>
      </c>
      <c r="CH9" s="146" t="str">
        <f ca="1">RESULTADOS!BL26</f>
        <v>Pasa</v>
      </c>
      <c r="CI9" s="146" t="str">
        <f ca="1">RESULTADOS!BM26</f>
        <v>Pasa</v>
      </c>
      <c r="CJ9" s="146" t="str">
        <f ca="1">RESULTADOS!BN26</f>
        <v>Pasa</v>
      </c>
      <c r="CK9" s="146" t="str">
        <f ca="1">RESULTADOS!BO26</f>
        <v>Pasa</v>
      </c>
      <c r="CL9" s="146" t="str">
        <f ca="1">RESULTADOS!BP26</f>
        <v>N/A</v>
      </c>
      <c r="CM9" s="146" t="str">
        <f ca="1">RESULTADOS!BQ26</f>
        <v>N/A</v>
      </c>
      <c r="CN9" s="146" t="str">
        <f ca="1">RESULTADOS!BR26</f>
        <v>Pasa</v>
      </c>
      <c r="CO9" s="146" t="str">
        <f ca="1">RESULTADOS!BS26</f>
        <v>N/A</v>
      </c>
      <c r="CP9" s="146" t="str">
        <f ca="1">RESULTADOS!BT26</f>
        <v>Falla</v>
      </c>
      <c r="CQ9" s="146" t="str">
        <f ca="1">RESULTADOS!BU26</f>
        <v>N/A</v>
      </c>
      <c r="CR9" s="146" t="str">
        <f ca="1">RESULTADOS!BV26</f>
        <v>Pasa</v>
      </c>
      <c r="CS9" s="146" t="str">
        <f ca="1">RESULTADOS!BW26</f>
        <v>N/A</v>
      </c>
      <c r="CT9" s="146" t="str">
        <f ca="1">RESULTADOS!BX26</f>
        <v>Pasa</v>
      </c>
      <c r="CU9" s="146" t="str">
        <f ca="1">RESULTADOS!BY26</f>
        <v>Pasa</v>
      </c>
      <c r="CV9" s="146" t="str">
        <f ca="1">RESULTADOS!BZ26</f>
        <v>N/A</v>
      </c>
      <c r="CW9" s="146" t="str">
        <f ca="1">RESULTADOS!CA26</f>
        <v>Falla</v>
      </c>
      <c r="CX9" s="146" t="str">
        <f ca="1">RESULTADOS!CB26</f>
        <v>N/A</v>
      </c>
      <c r="CY9" s="146" t="str">
        <f ca="1">RESULTADOS!CC26</f>
        <v>N/A</v>
      </c>
      <c r="CZ9" s="146" t="str">
        <f ca="1">RESULTADOS!CD26</f>
        <v>Pasa</v>
      </c>
      <c r="DA9" s="146" t="str">
        <f ca="1">RESULTADOS!CE26</f>
        <v>Pasa</v>
      </c>
      <c r="DB9" s="146" t="str">
        <f ca="1">RESULTADOS!CF26</f>
        <v>N/A</v>
      </c>
      <c r="DC9" s="146" t="str">
        <f ca="1">RESULTADOS!CG26</f>
        <v>Falla</v>
      </c>
      <c r="DD9" s="146" t="str">
        <f ca="1">RESULTADOS!CH26</f>
        <v>N/A</v>
      </c>
      <c r="DE9" s="146" t="str">
        <f ca="1">RESULTADOS!CI26</f>
        <v>N/A</v>
      </c>
      <c r="DF9" s="146" t="str">
        <f ca="1">RESULTADOS!CJ26</f>
        <v>N/A</v>
      </c>
      <c r="DG9" s="146" t="str">
        <f ca="1">RESULTADOS!CK26</f>
        <v>N/A</v>
      </c>
      <c r="DH9" s="146" t="str">
        <f ca="1">RESULTADOS!CL26</f>
        <v>N/A</v>
      </c>
      <c r="DI9" s="146" t="str">
        <f ca="1">RESULTADOS!CM26</f>
        <v>N/A</v>
      </c>
      <c r="DJ9" s="146" t="str">
        <f ca="1">RESULTADOS!CN26</f>
        <v>Pasa</v>
      </c>
      <c r="DK9" s="146" t="str">
        <f ca="1">RESULTADOS!CO26</f>
        <v>Falla</v>
      </c>
      <c r="DL9" s="146" t="str">
        <f ca="1">RESULTADOS!CP26</f>
        <v>Pasa</v>
      </c>
      <c r="DM9" s="146" t="str">
        <f ca="1">RESULTADOS!CQ26</f>
        <v>Falla</v>
      </c>
      <c r="DN9" s="146" t="str">
        <f ca="1">RESULTADOS!CR26</f>
        <v>Falla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284</v>
      </c>
      <c r="D10" s="147" t="str">
        <f>'01.Definición de ámbito'!C27</f>
        <v>Hospital Clínico San Carlos</v>
      </c>
      <c r="E10" s="144" t="s">
        <v>303</v>
      </c>
      <c r="F10" s="147" t="str">
        <f>'02.Tecnologías'!F12</f>
        <v>No</v>
      </c>
      <c r="G10" s="147">
        <f>'02.Tecnologías'!K20</f>
        <v>0</v>
      </c>
      <c r="H10" s="147">
        <f>'02.Tecnologías'!L20</f>
        <v>0</v>
      </c>
      <c r="I10" s="206"/>
      <c r="J10" s="206"/>
      <c r="K10" s="144" t="s">
        <v>349</v>
      </c>
      <c r="L10" s="144"/>
      <c r="M10" s="144"/>
      <c r="T10" s="148">
        <f>RESULTADOS!B27</f>
        <v>8</v>
      </c>
      <c r="U10" s="148" t="str">
        <f>RESULTADOS!C27</f>
        <v>Comunicación</v>
      </c>
      <c r="V10" s="148" t="str">
        <f t="shared" si="0"/>
        <v>Página web</v>
      </c>
      <c r="W10" s="148" t="str">
        <v>Pagina tipo</v>
      </c>
      <c r="X10" s="148" t="str">
        <f>RESULTADOS!D27</f>
        <v>https://www.comunidad.madrid/hospital/clinicosancarlos/comunicacion</v>
      </c>
      <c r="Y10" s="148" t="str">
        <v>Home - Comunicación</v>
      </c>
      <c r="Z10" s="237">
        <v>0</v>
      </c>
      <c r="AA10" s="146" t="str">
        <f ca="1">RESULTADOS!E27</f>
        <v>N/A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Pasa</v>
      </c>
      <c r="AX10" s="146" t="str">
        <f ca="1">RESULTADOS!AB27</f>
        <v>Pasa</v>
      </c>
      <c r="AY10" s="146" t="str">
        <f ca="1">RESULTADOS!AC27</f>
        <v>N/A</v>
      </c>
      <c r="AZ10" s="146" t="str">
        <f ca="1">RESULTADOS!AD27</f>
        <v>Pasa</v>
      </c>
      <c r="BA10" s="146" t="str">
        <f ca="1">RESULTADOS!AE27</f>
        <v>N/A</v>
      </c>
      <c r="BB10" s="146" t="str">
        <f ca="1">RESULTADOS!AF27</f>
        <v>N/A</v>
      </c>
      <c r="BC10" s="146" t="str">
        <f ca="1">RESULTADOS!AG27</f>
        <v>N/A</v>
      </c>
      <c r="BD10" s="146" t="str">
        <f ca="1">RESULTADOS!AH27</f>
        <v>N/A</v>
      </c>
      <c r="BE10" s="146" t="str">
        <f ca="1">RESULTADOS!AI27</f>
        <v>N/A</v>
      </c>
      <c r="BF10" s="146" t="str">
        <f ca="1">RESULTADOS!AJ27</f>
        <v>Falla</v>
      </c>
      <c r="BG10" s="146" t="str">
        <f ca="1">RESULTADOS!AK27</f>
        <v>N/A</v>
      </c>
      <c r="BH10" s="146" t="str">
        <f ca="1">RESULTADOS!AL27</f>
        <v>Pasa</v>
      </c>
      <c r="BI10" s="146" t="str">
        <f ca="1">RESULTADOS!AM27</f>
        <v>Falla</v>
      </c>
      <c r="BJ10" s="146" t="str">
        <f ca="1">RESULTADOS!AN27</f>
        <v>Falla</v>
      </c>
      <c r="BK10" s="146" t="str">
        <f ca="1">RESULTADOS!AO27</f>
        <v>Falla</v>
      </c>
      <c r="BL10" s="146" t="str">
        <f ca="1">RESULTADOS!AP27</f>
        <v>Pasa</v>
      </c>
      <c r="BM10" s="146" t="str">
        <f ca="1">RESULTADOS!AQ27</f>
        <v>N/A</v>
      </c>
      <c r="BN10" s="146" t="str">
        <f ca="1">RESULTADOS!AR27</f>
        <v>N/A</v>
      </c>
      <c r="BO10" s="146" t="str">
        <f ca="1">RESULTADOS!AS27</f>
        <v>N/A</v>
      </c>
      <c r="BP10" s="146" t="str">
        <f ca="1">RESULTADOS!AT27</f>
        <v>Pasa</v>
      </c>
      <c r="BQ10" s="146" t="str">
        <f ca="1">RESULTADOS!AU27</f>
        <v>N/A</v>
      </c>
      <c r="BR10" s="146" t="str">
        <f ca="1">RESULTADOS!AV27</f>
        <v>Pasa</v>
      </c>
      <c r="BS10" s="146" t="str">
        <f ca="1">RESULTADOS!AW27</f>
        <v>Falla</v>
      </c>
      <c r="BT10" s="146" t="str">
        <f ca="1">RESULTADOS!AX27</f>
        <v>N/A</v>
      </c>
      <c r="BU10" s="146" t="str">
        <f ca="1">RESULTADOS!AY27</f>
        <v>Pasa</v>
      </c>
      <c r="BV10" s="146" t="str">
        <f ca="1">RESULTADOS!AZ27</f>
        <v>Pasa</v>
      </c>
      <c r="BW10" s="146" t="str">
        <f ca="1">RESULTADOS!BA27</f>
        <v>Pasa</v>
      </c>
      <c r="BX10" s="146" t="str">
        <f ca="1">RESULTADOS!BB27</f>
        <v>Pasa</v>
      </c>
      <c r="BY10" s="146" t="str">
        <f ca="1">RESULTADOS!BC27</f>
        <v>Pasa</v>
      </c>
      <c r="BZ10" s="146" t="str">
        <f ca="1">RESULTADOS!BD27</f>
        <v>Pasa</v>
      </c>
      <c r="CA10" s="146" t="str">
        <f ca="1">RESULTADOS!BE27</f>
        <v>N/A</v>
      </c>
      <c r="CB10" s="146" t="str">
        <f ca="1">RESULTADOS!BF27</f>
        <v>N/A</v>
      </c>
      <c r="CC10" s="146" t="str">
        <f ca="1">RESULTADOS!BG27</f>
        <v>Falla</v>
      </c>
      <c r="CD10" s="146" t="str">
        <f ca="1">RESULTADOS!BH27</f>
        <v>N/A</v>
      </c>
      <c r="CE10" s="146" t="str">
        <f ca="1">RESULTADOS!BI27</f>
        <v>N/A</v>
      </c>
      <c r="CF10" s="146" t="str">
        <f ca="1">RESULTADOS!BJ27</f>
        <v>Pasa</v>
      </c>
      <c r="CG10" s="146" t="str">
        <f ca="1">RESULTADOS!BK27</f>
        <v>Pasa</v>
      </c>
      <c r="CH10" s="146" t="str">
        <f ca="1">RESULTADOS!BL27</f>
        <v>Falla</v>
      </c>
      <c r="CI10" s="146" t="str">
        <f ca="1">RESULTADOS!BM27</f>
        <v>Pasa</v>
      </c>
      <c r="CJ10" s="146" t="str">
        <f ca="1">RESULTADOS!BN27</f>
        <v>Pasa</v>
      </c>
      <c r="CK10" s="146" t="str">
        <f ca="1">RESULTADOS!BO27</f>
        <v>Pasa</v>
      </c>
      <c r="CL10" s="146" t="str">
        <f ca="1">RESULTADOS!BP27</f>
        <v>N/A</v>
      </c>
      <c r="CM10" s="146" t="str">
        <f ca="1">RESULTADOS!BQ27</f>
        <v>N/A</v>
      </c>
      <c r="CN10" s="146" t="str">
        <f ca="1">RESULTADOS!BR27</f>
        <v>Pasa</v>
      </c>
      <c r="CO10" s="146" t="str">
        <f ca="1">RESULTADOS!BS27</f>
        <v>N/A</v>
      </c>
      <c r="CP10" s="146" t="str">
        <f ca="1">RESULTADOS!BT27</f>
        <v>Falla</v>
      </c>
      <c r="CQ10" s="146" t="str">
        <f ca="1">RESULTADOS!BU27</f>
        <v>N/A</v>
      </c>
      <c r="CR10" s="146" t="str">
        <f ca="1">RESULTADOS!BV27</f>
        <v>Pasa</v>
      </c>
      <c r="CS10" s="146" t="str">
        <f ca="1">RESULTADOS!BW27</f>
        <v>N/A</v>
      </c>
      <c r="CT10" s="146" t="str">
        <f ca="1">RESULTADOS!BX27</f>
        <v>Pasa</v>
      </c>
      <c r="CU10" s="146" t="str">
        <f ca="1">RESULTADOS!BY27</f>
        <v>Pasa</v>
      </c>
      <c r="CV10" s="146" t="str">
        <f ca="1">RESULTADOS!BZ27</f>
        <v>N/A</v>
      </c>
      <c r="CW10" s="146" t="str">
        <f ca="1">RESULTADOS!CA27</f>
        <v>Falla</v>
      </c>
      <c r="CX10" s="146" t="str">
        <f ca="1">RESULTADOS!CB27</f>
        <v>N/A</v>
      </c>
      <c r="CY10" s="146" t="str">
        <f ca="1">RESULTADOS!CC27</f>
        <v>N/A</v>
      </c>
      <c r="CZ10" s="146" t="str">
        <f ca="1">RESULTADOS!CD27</f>
        <v>Pasa</v>
      </c>
      <c r="DA10" s="146" t="str">
        <f ca="1">RESULTADOS!CE27</f>
        <v>Pasa</v>
      </c>
      <c r="DB10" s="146" t="str">
        <f ca="1">RESULTADOS!CF27</f>
        <v>N/A</v>
      </c>
      <c r="DC10" s="146" t="str">
        <f ca="1">RESULTADOS!CG27</f>
        <v>Falla</v>
      </c>
      <c r="DD10" s="146" t="str">
        <f ca="1">RESULTADOS!CH27</f>
        <v>N/A</v>
      </c>
      <c r="DE10" s="146" t="str">
        <f ca="1">RESULTADOS!CI27</f>
        <v>N/A</v>
      </c>
      <c r="DF10" s="146" t="str">
        <f ca="1">RESULTADOS!CJ27</f>
        <v>N/A</v>
      </c>
      <c r="DG10" s="146" t="str">
        <f ca="1">RESULTADOS!CK27</f>
        <v>N/A</v>
      </c>
      <c r="DH10" s="146" t="str">
        <f ca="1">RESULTADOS!CL27</f>
        <v>N/A</v>
      </c>
      <c r="DI10" s="146" t="str">
        <f ca="1">RESULTADOS!CM27</f>
        <v>N/A</v>
      </c>
      <c r="DJ10" s="146" t="str">
        <f ca="1">RESULTADOS!CN27</f>
        <v>Pasa</v>
      </c>
      <c r="DK10" s="146" t="str">
        <f ca="1">RESULTADOS!CO27</f>
        <v>Falla</v>
      </c>
      <c r="DL10" s="146" t="str">
        <f ca="1">RESULTADOS!CP27</f>
        <v>Pasa</v>
      </c>
      <c r="DM10" s="146" t="str">
        <f ca="1">RESULTADOS!CQ27</f>
        <v>Falla</v>
      </c>
      <c r="DN10" s="146" t="str">
        <f ca="1">RESULTADOS!CR27</f>
        <v>Falla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285</v>
      </c>
      <c r="D11" s="147" t="str">
        <f>'01.Definición de ámbito'!C29</f>
        <v>https://www.comunidad.madrid/hospital/clinicosancarlos/</v>
      </c>
      <c r="E11" s="144" t="s">
        <v>308</v>
      </c>
      <c r="F11" s="147" t="str">
        <f>'02.Tecnologías'!F13</f>
        <v>No</v>
      </c>
      <c r="G11" s="147">
        <f>'02.Tecnologías'!K21</f>
        <v>0</v>
      </c>
      <c r="H11" s="147">
        <f>'02.Tecnologías'!L21</f>
        <v>0</v>
      </c>
      <c r="I11" s="206"/>
      <c r="J11" s="206"/>
      <c r="K11" s="144" t="s">
        <v>39</v>
      </c>
      <c r="L11" s="144"/>
      <c r="M11" s="144"/>
      <c r="N11" s="144"/>
      <c r="O11" s="144"/>
      <c r="P11" s="144"/>
      <c r="T11" s="148">
        <f>RESULTADOS!B28</f>
        <v>9</v>
      </c>
      <c r="U11" s="148" t="str">
        <f>RESULTADOS!C28</f>
        <v>Videoteca</v>
      </c>
      <c r="V11" s="148" t="str">
        <f t="shared" si="0"/>
        <v>Página web</v>
      </c>
      <c r="W11" s="148" t="str">
        <v>Aleatoria</v>
      </c>
      <c r="X11" s="148" t="str">
        <f>RESULTADOS!D28</f>
        <v>https://www.comunidad.madrid/hospital/clinicosancarlos/comunicacion/videoteca</v>
      </c>
      <c r="Y11" s="148" t="str">
        <v>Home - Comunicación - Videoteca</v>
      </c>
      <c r="Z11" s="237">
        <v>0</v>
      </c>
      <c r="AA11" s="146" t="str">
        <f ca="1">RESULTADOS!E28</f>
        <v>N/A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Pasa</v>
      </c>
      <c r="AX11" s="146" t="str">
        <f ca="1">RESULTADOS!AB28</f>
        <v>Pasa</v>
      </c>
      <c r="AY11" s="146" t="str">
        <f ca="1">RESULTADOS!AC28</f>
        <v>N/A</v>
      </c>
      <c r="AZ11" s="146" t="str">
        <f ca="1">RESULTADOS!AD28</f>
        <v>Pasa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Pasa</v>
      </c>
      <c r="BI11" s="146" t="str">
        <f ca="1">RESULTADOS!AM28</f>
        <v>Falla</v>
      </c>
      <c r="BJ11" s="146" t="str">
        <f ca="1">RESULTADOS!AN28</f>
        <v>Falla</v>
      </c>
      <c r="BK11" s="146" t="str">
        <f ca="1">RESULTADOS!AO28</f>
        <v>Falla</v>
      </c>
      <c r="BL11" s="146" t="str">
        <f ca="1">RESULTADOS!AP28</f>
        <v>Pasa</v>
      </c>
      <c r="BM11" s="146" t="str">
        <f ca="1">RESULTADOS!AQ28</f>
        <v>N/A</v>
      </c>
      <c r="BN11" s="146" t="str">
        <f ca="1">RESULTADOS!AR28</f>
        <v>N/A</v>
      </c>
      <c r="BO11" s="146" t="str">
        <f ca="1">RESULTADOS!AS28</f>
        <v>N/A</v>
      </c>
      <c r="BP11" s="146" t="str">
        <f ca="1">RESULTADOS!AT28</f>
        <v>Pasa</v>
      </c>
      <c r="BQ11" s="146" t="str">
        <f ca="1">RESULTADOS!AU28</f>
        <v>N/A</v>
      </c>
      <c r="BR11" s="146" t="str">
        <f ca="1">RESULTADOS!AV28</f>
        <v>Pasa</v>
      </c>
      <c r="BS11" s="146" t="str">
        <f ca="1">RESULTADOS!AW28</f>
        <v>Falla</v>
      </c>
      <c r="BT11" s="146" t="str">
        <f ca="1">RESULTADOS!AX28</f>
        <v>N/A</v>
      </c>
      <c r="BU11" s="146" t="str">
        <f ca="1">RESULTADOS!AY28</f>
        <v>Pasa</v>
      </c>
      <c r="BV11" s="146" t="str">
        <f ca="1">RESULTADOS!AZ28</f>
        <v>Pasa</v>
      </c>
      <c r="BW11" s="146" t="str">
        <f ca="1">RESULTADOS!BA28</f>
        <v>Pasa</v>
      </c>
      <c r="BX11" s="146" t="str">
        <f ca="1">RESULTADOS!BB28</f>
        <v>Pasa</v>
      </c>
      <c r="BY11" s="146" t="str">
        <f ca="1">RESULTADOS!BC28</f>
        <v>Pasa</v>
      </c>
      <c r="BZ11" s="146" t="str">
        <f ca="1">RESULTADOS!BD28</f>
        <v>Pasa</v>
      </c>
      <c r="CA11" s="146" t="str">
        <f ca="1">RESULTADOS!BE28</f>
        <v>N/A</v>
      </c>
      <c r="CB11" s="146" t="str">
        <f ca="1">RESULTADOS!BF28</f>
        <v>N/A</v>
      </c>
      <c r="CC11" s="146" t="str">
        <f ca="1">RESULTADOS!BG28</f>
        <v>N/A</v>
      </c>
      <c r="CD11" s="146" t="str">
        <f ca="1">RESULTADOS!BH28</f>
        <v>N/A</v>
      </c>
      <c r="CE11" s="146" t="str">
        <f ca="1">RESULTADOS!BI28</f>
        <v>N/A</v>
      </c>
      <c r="CF11" s="146" t="str">
        <f ca="1">RESULTADOS!BJ28</f>
        <v>Pasa</v>
      </c>
      <c r="CG11" s="146" t="str">
        <f ca="1">RESULTADOS!BK28</f>
        <v>Pasa</v>
      </c>
      <c r="CH11" s="146" t="str">
        <f ca="1">RESULTADOS!BL28</f>
        <v>Pasa</v>
      </c>
      <c r="CI11" s="146" t="str">
        <f ca="1">RESULTADOS!BM28</f>
        <v>Pasa</v>
      </c>
      <c r="CJ11" s="146" t="str">
        <f ca="1">RESULTADOS!BN28</f>
        <v>Pasa</v>
      </c>
      <c r="CK11" s="146" t="str">
        <f ca="1">RESULTADOS!BO28</f>
        <v>Pasa</v>
      </c>
      <c r="CL11" s="146" t="str">
        <f ca="1">RESULTADOS!BP28</f>
        <v>N/A</v>
      </c>
      <c r="CM11" s="146" t="str">
        <f ca="1">RESULTADOS!BQ28</f>
        <v>N/A</v>
      </c>
      <c r="CN11" s="146" t="str">
        <f ca="1">RESULTADOS!BR28</f>
        <v>Pasa</v>
      </c>
      <c r="CO11" s="146" t="str">
        <f ca="1">RESULTADOS!BS28</f>
        <v>N/A</v>
      </c>
      <c r="CP11" s="146" t="str">
        <f ca="1">RESULTADOS!BT28</f>
        <v>Falla</v>
      </c>
      <c r="CQ11" s="146" t="str">
        <f ca="1">RESULTADOS!BU28</f>
        <v>N/A</v>
      </c>
      <c r="CR11" s="146" t="str">
        <f ca="1">RESULTADOS!BV28</f>
        <v>Pasa</v>
      </c>
      <c r="CS11" s="146" t="str">
        <f ca="1">RESULTADOS!BW28</f>
        <v>Pasa</v>
      </c>
      <c r="CT11" s="146" t="str">
        <f ca="1">RESULTADOS!BX28</f>
        <v>Pasa</v>
      </c>
      <c r="CU11" s="146" t="str">
        <f ca="1">RESULTADOS!BY28</f>
        <v>Pasa</v>
      </c>
      <c r="CV11" s="146" t="str">
        <f ca="1">RESULTADOS!BZ28</f>
        <v>N/A</v>
      </c>
      <c r="CW11" s="146" t="str">
        <f ca="1">RESULTADOS!CA28</f>
        <v>Falla</v>
      </c>
      <c r="CX11" s="146" t="str">
        <f ca="1">RESULTADOS!CB28</f>
        <v>N/A</v>
      </c>
      <c r="CY11" s="146" t="str">
        <f ca="1">RESULTADOS!CC28</f>
        <v>N/A</v>
      </c>
      <c r="CZ11" s="146" t="str">
        <f ca="1">RESULTADOS!CD28</f>
        <v>Pasa</v>
      </c>
      <c r="DA11" s="146" t="str">
        <f ca="1">RESULTADOS!CE28</f>
        <v>Pasa</v>
      </c>
      <c r="DB11" s="146" t="str">
        <f ca="1">RESULTADOS!CF28</f>
        <v>N/A</v>
      </c>
      <c r="DC11" s="146" t="str">
        <f ca="1">RESULTADOS!CG28</f>
        <v>Falla</v>
      </c>
      <c r="DD11" s="146" t="str">
        <f ca="1">RESULTADOS!CH28</f>
        <v>N/A</v>
      </c>
      <c r="DE11" s="146" t="str">
        <f ca="1">RESULTADOS!CI28</f>
        <v>N/A</v>
      </c>
      <c r="DF11" s="146" t="str">
        <f ca="1">RESULTADOS!CJ28</f>
        <v>N/A</v>
      </c>
      <c r="DG11" s="146" t="str">
        <f ca="1">RESULTADOS!CK28</f>
        <v>N/A</v>
      </c>
      <c r="DH11" s="146" t="str">
        <f ca="1">RESULTADOS!CL28</f>
        <v>N/A</v>
      </c>
      <c r="DI11" s="146" t="str">
        <f ca="1">RESULTADOS!CM28</f>
        <v>N/A</v>
      </c>
      <c r="DJ11" s="146" t="str">
        <f ca="1">RESULTADOS!CN28</f>
        <v>Pasa</v>
      </c>
      <c r="DK11" s="146" t="str">
        <f ca="1">RESULTADOS!CO28</f>
        <v>Falla</v>
      </c>
      <c r="DL11" s="146" t="str">
        <f ca="1">RESULTADOS!CP28</f>
        <v>Pasa</v>
      </c>
      <c r="DM11" s="146" t="str">
        <f ca="1">RESULTADOS!CQ28</f>
        <v>Falla</v>
      </c>
      <c r="DN11" s="146" t="str">
        <f ca="1">RESULTADOS!CR28</f>
        <v>Falla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139</v>
      </c>
      <c r="D12" s="147" t="str">
        <f>'01.Definición de ámbito'!C31</f>
        <v>Se analizan las páginas del dominio https://www.comunidad.madrid/hospital/clinicosancarlos/</v>
      </c>
      <c r="E12" s="144" t="s">
        <v>295</v>
      </c>
      <c r="F12" s="147" t="str">
        <f>'02.Tecnologías'!I9</f>
        <v>No</v>
      </c>
      <c r="G12" s="147">
        <f>'02.Tecnologías'!K22</f>
        <v>0</v>
      </c>
      <c r="H12" s="147">
        <f>'02.Tecnologías'!L22</f>
        <v>0</v>
      </c>
      <c r="I12" s="206"/>
      <c r="J12" s="206"/>
      <c r="K12" s="23" t="s">
        <v>133</v>
      </c>
      <c r="L12" s="23" t="s">
        <v>42</v>
      </c>
      <c r="M12" s="23" t="s">
        <v>43</v>
      </c>
      <c r="N12" s="23" t="s">
        <v>31</v>
      </c>
      <c r="O12" s="23" t="s">
        <v>44</v>
      </c>
      <c r="P12" s="23" t="s">
        <v>134</v>
      </c>
      <c r="T12" s="148">
        <f>RESULTADOS!B29</f>
        <v>10</v>
      </c>
      <c r="U12" s="148" t="str">
        <f>RESULTADOS!C29</f>
        <v>Noticias</v>
      </c>
      <c r="V12" s="148" t="str">
        <f t="shared" si="0"/>
        <v>Página web</v>
      </c>
      <c r="W12" s="148" t="str">
        <v>Pagina tipo</v>
      </c>
      <c r="X12" s="148" t="str">
        <f>RESULTADOS!D29</f>
        <v>https://www.comunidad.madrid/hospital/clinicosancarlos/comunicacion/noticias</v>
      </c>
      <c r="Y12" s="148" t="str">
        <v>Home - Comunicación - Noticias de actualidad</v>
      </c>
      <c r="Z12" s="237">
        <v>0</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Falla</v>
      </c>
      <c r="BJ12" s="146" t="str">
        <f ca="1">RESULTADOS!AN29</f>
        <v>Falla</v>
      </c>
      <c r="BK12" s="146" t="str">
        <f ca="1">RESULTADOS!AO29</f>
        <v>Falla</v>
      </c>
      <c r="BL12" s="146" t="str">
        <f ca="1">RESULTADOS!AP29</f>
        <v>Pasa</v>
      </c>
      <c r="BM12" s="146" t="str">
        <f ca="1">RESULTADOS!AQ29</f>
        <v>N/A</v>
      </c>
      <c r="BN12" s="146" t="str">
        <f ca="1">RESULTADOS!AR29</f>
        <v>N/A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Pasa</v>
      </c>
      <c r="BV12" s="146" t="str">
        <f ca="1">RESULTADOS!AZ29</f>
        <v>Pasa</v>
      </c>
      <c r="BW12" s="146" t="str">
        <f ca="1">RESULTADOS!BA29</f>
        <v>Pasa</v>
      </c>
      <c r="BX12" s="146" t="str">
        <f ca="1">RESULTADOS!BB29</f>
        <v>Pasa</v>
      </c>
      <c r="BY12" s="146" t="str">
        <f ca="1">RESULTADOS!BC29</f>
        <v>Pasa</v>
      </c>
      <c r="BZ12" s="146" t="str">
        <f ca="1">RESULTADOS!BD29</f>
        <v>Pasa</v>
      </c>
      <c r="CA12" s="146" t="str">
        <f ca="1">RESULTADOS!BE29</f>
        <v>N/A</v>
      </c>
      <c r="CB12" s="146" t="str">
        <f ca="1">RESULTADOS!BF29</f>
        <v>N/A</v>
      </c>
      <c r="CC12" s="146" t="str">
        <f ca="1">RESULTADOS!BG29</f>
        <v>N/A</v>
      </c>
      <c r="CD12" s="146" t="str">
        <f ca="1">RESULTADOS!BH29</f>
        <v>N/A</v>
      </c>
      <c r="CE12" s="146" t="str">
        <f ca="1">RESULTADOS!BI29</f>
        <v>N/A</v>
      </c>
      <c r="CF12" s="146" t="str">
        <f ca="1">RESULTADOS!BJ29</f>
        <v>Pasa</v>
      </c>
      <c r="CG12" s="146" t="str">
        <f ca="1">RESULTADOS!BK29</f>
        <v>Pasa</v>
      </c>
      <c r="CH12" s="146" t="str">
        <f ca="1">RESULTADOS!BL29</f>
        <v>Pasa</v>
      </c>
      <c r="CI12" s="146" t="str">
        <f ca="1">RESULTADOS!BM29</f>
        <v>Pasa</v>
      </c>
      <c r="CJ12" s="146" t="str">
        <f ca="1">RESULTADOS!BN29</f>
        <v>Pasa</v>
      </c>
      <c r="CK12" s="146" t="str">
        <f ca="1">RESULTADOS!BO29</f>
        <v>Pasa</v>
      </c>
      <c r="CL12" s="146" t="str">
        <f ca="1">RESULTADOS!BP29</f>
        <v>N/A</v>
      </c>
      <c r="CM12" s="146" t="str">
        <f ca="1">RESULTADOS!BQ29</f>
        <v>N/A</v>
      </c>
      <c r="CN12" s="146" t="str">
        <f ca="1">RESULTADOS!BR29</f>
        <v>Pasa</v>
      </c>
      <c r="CO12" s="146" t="str">
        <f ca="1">RESULTADOS!BS29</f>
        <v>N/A</v>
      </c>
      <c r="CP12" s="146" t="str">
        <f ca="1">RESULTADOS!BT29</f>
        <v>Falla</v>
      </c>
      <c r="CQ12" s="146" t="str">
        <f ca="1">RESULTADOS!BU29</f>
        <v>N/A</v>
      </c>
      <c r="CR12" s="146" t="str">
        <f ca="1">RESULTADOS!BV29</f>
        <v>Pasa</v>
      </c>
      <c r="CS12" s="146" t="str">
        <f ca="1">RESULTADOS!BW29</f>
        <v>Pasa</v>
      </c>
      <c r="CT12" s="146" t="str">
        <f ca="1">RESULTADOS!BX29</f>
        <v>Pasa</v>
      </c>
      <c r="CU12" s="146" t="str">
        <f ca="1">RESULTADOS!BY29</f>
        <v>Pasa</v>
      </c>
      <c r="CV12" s="146" t="str">
        <f ca="1">RESULTADOS!BZ29</f>
        <v>N/A</v>
      </c>
      <c r="CW12" s="146" t="str">
        <f ca="1">RESULTADOS!CA29</f>
        <v>Falla</v>
      </c>
      <c r="CX12" s="146" t="str">
        <f ca="1">RESULTADOS!CB29</f>
        <v>N/A</v>
      </c>
      <c r="CY12" s="146" t="str">
        <f ca="1">RESULTADOS!CC29</f>
        <v>N/A</v>
      </c>
      <c r="CZ12" s="146" t="str">
        <f ca="1">RESULTADOS!CD29</f>
        <v>Pasa</v>
      </c>
      <c r="DA12" s="146" t="str">
        <f ca="1">RESULTADOS!CE29</f>
        <v>Pasa</v>
      </c>
      <c r="DB12" s="146" t="str">
        <f ca="1">RESULTADOS!CF29</f>
        <v>N/A</v>
      </c>
      <c r="DC12" s="146" t="str">
        <f ca="1">RESULTADOS!CG29</f>
        <v>Falla</v>
      </c>
      <c r="DD12" s="146" t="str">
        <f ca="1">RESULTADOS!CH29</f>
        <v>N/A</v>
      </c>
      <c r="DE12" s="146" t="str">
        <f ca="1">RESULTADOS!CI29</f>
        <v>N/A</v>
      </c>
      <c r="DF12" s="146" t="str">
        <f ca="1">RESULTADOS!CJ29</f>
        <v>N/A</v>
      </c>
      <c r="DG12" s="146" t="str">
        <f ca="1">RESULTADOS!CK29</f>
        <v>N/A</v>
      </c>
      <c r="DH12" s="146" t="str">
        <f ca="1">RESULTADOS!CL29</f>
        <v>N/A</v>
      </c>
      <c r="DI12" s="146" t="str">
        <f ca="1">RESULTADOS!CM29</f>
        <v>N/A</v>
      </c>
      <c r="DJ12" s="146" t="str">
        <f ca="1">RESULTADOS!CN29</f>
        <v>Pasa</v>
      </c>
      <c r="DK12" s="146" t="str">
        <f ca="1">RESULTADOS!CO29</f>
        <v>Falla</v>
      </c>
      <c r="DL12" s="146" t="str">
        <f ca="1">RESULTADOS!CP29</f>
        <v>Pasa</v>
      </c>
      <c r="DM12" s="146" t="str">
        <f ca="1">RESULTADOS!CQ29</f>
        <v>Falla</v>
      </c>
      <c r="DN12" s="146" t="str">
        <f ca="1">RESULTADOS!CR29</f>
        <v>Falla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286</v>
      </c>
      <c r="D13" s="147" t="str">
        <f>'01.Definición de ámbito'!C33</f>
        <v>Proporcionar información sobre el hospital, sus servicios e instalaciones</v>
      </c>
      <c r="E13" s="144" t="s">
        <v>298</v>
      </c>
      <c r="F13" s="147" t="str">
        <f>'02.Tecnologías'!I10</f>
        <v>No</v>
      </c>
      <c r="G13" s="147">
        <f>'02.Tecnologías'!K23</f>
        <v>0</v>
      </c>
      <c r="H13" s="147">
        <f>'02.Tecnologías'!L23</f>
        <v>0</v>
      </c>
      <c r="I13" s="206"/>
      <c r="J13" s="206"/>
      <c r="K13" s="40" t="s">
        <v>150</v>
      </c>
      <c r="L13" s="208" t="str">
        <f ca="1">RESULTADOS!E8</f>
        <v>26 (28,26 %)</v>
      </c>
      <c r="M13" s="208" t="str">
        <f ca="1">RESULTADOS!F8</f>
        <v>14 (15,22 %)</v>
      </c>
      <c r="N13" s="208" t="str">
        <f ca="1">RESULTADOS!G8</f>
        <v>52 (56,52 %)</v>
      </c>
      <c r="O13" s="148">
        <f ca="1">RESULTADOS!H8</f>
        <v>0</v>
      </c>
      <c r="P13" s="148">
        <f ca="1">RESULTADOS!I8</f>
        <v>0</v>
      </c>
      <c r="T13" s="148">
        <f>RESULTADOS!B30</f>
        <v>11</v>
      </c>
      <c r="U13" s="148" t="str">
        <f>RESULTADOS!C30</f>
        <v>Nosotros</v>
      </c>
      <c r="V13" s="148" t="str">
        <f t="shared" si="0"/>
        <v>Página web</v>
      </c>
      <c r="W13" s="148" t="str">
        <v>Pagina tipo</v>
      </c>
      <c r="X13" s="148" t="str">
        <f>RESULTADOS!D30</f>
        <v>https://www.comunidad.madrid/hospital/clinicosancarlos/nosotros</v>
      </c>
      <c r="Y13" s="148" t="str">
        <v>Home - Nosotros</v>
      </c>
      <c r="Z13" s="237">
        <v>0</v>
      </c>
      <c r="AA13" s="146" t="str">
        <f ca="1">RESULTADOS!E30</f>
        <v>N/A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Pasa</v>
      </c>
      <c r="BG13" s="146" t="str">
        <f ca="1">RESULTADOS!AK30</f>
        <v>N/A</v>
      </c>
      <c r="BH13" s="146" t="str">
        <f ca="1">RESULTADOS!AL30</f>
        <v>N/A</v>
      </c>
      <c r="BI13" s="146" t="str">
        <f ca="1">RESULTADOS!AM30</f>
        <v>Falla</v>
      </c>
      <c r="BJ13" s="146" t="str">
        <f ca="1">RESULTADOS!AN30</f>
        <v>Falla</v>
      </c>
      <c r="BK13" s="146" t="str">
        <f ca="1">RESULTADOS!AO30</f>
        <v>Falla</v>
      </c>
      <c r="BL13" s="146" t="str">
        <f ca="1">RESULTADOS!AP30</f>
        <v>Pasa</v>
      </c>
      <c r="BM13" s="146" t="str">
        <f ca="1">RESULTADOS!AQ30</f>
        <v>N/A</v>
      </c>
      <c r="BN13" s="146" t="str">
        <f ca="1">RESULTADOS!AR30</f>
        <v>N/A</v>
      </c>
      <c r="BO13" s="146" t="str">
        <f ca="1">RESULTADOS!AS30</f>
        <v>N/A</v>
      </c>
      <c r="BP13" s="146" t="str">
        <f ca="1">RESULTADOS!AT30</f>
        <v>Pasa</v>
      </c>
      <c r="BQ13" s="146" t="str">
        <f ca="1">RESULTADOS!AU30</f>
        <v>N/A</v>
      </c>
      <c r="BR13" s="146" t="str">
        <f ca="1">RESULTADOS!AV30</f>
        <v>Pasa</v>
      </c>
      <c r="BS13" s="146" t="str">
        <f ca="1">RESULTADOS!AW30</f>
        <v>Falla</v>
      </c>
      <c r="BT13" s="146" t="str">
        <f ca="1">RESULTADOS!AX30</f>
        <v>N/A</v>
      </c>
      <c r="BU13" s="146" t="str">
        <f ca="1">RESULTADOS!AY30</f>
        <v>Pasa</v>
      </c>
      <c r="BV13" s="146" t="str">
        <f ca="1">RESULTADOS!AZ30</f>
        <v>Pasa</v>
      </c>
      <c r="BW13" s="146" t="str">
        <f ca="1">RESULTADOS!BA30</f>
        <v>Pasa</v>
      </c>
      <c r="BX13" s="146" t="str">
        <f ca="1">RESULTADOS!BB30</f>
        <v>Pasa</v>
      </c>
      <c r="BY13" s="146" t="str">
        <f ca="1">RESULTADOS!BC30</f>
        <v>Falla</v>
      </c>
      <c r="BZ13" s="146" t="str">
        <f ca="1">RESULTADOS!BD30</f>
        <v>Pasa</v>
      </c>
      <c r="CA13" s="146" t="str">
        <f ca="1">RESULTADOS!BE30</f>
        <v>N/A</v>
      </c>
      <c r="CB13" s="146" t="str">
        <f ca="1">RESULTADOS!BF30</f>
        <v>N/A</v>
      </c>
      <c r="CC13" s="146" t="str">
        <f ca="1">RESULTADOS!BG30</f>
        <v>Falla</v>
      </c>
      <c r="CD13" s="146" t="str">
        <f ca="1">RESULTADOS!BH30</f>
        <v>N/A</v>
      </c>
      <c r="CE13" s="146" t="str">
        <f ca="1">RESULTADOS!BI30</f>
        <v>N/A</v>
      </c>
      <c r="CF13" s="146" t="str">
        <f ca="1">RESULTADOS!BJ30</f>
        <v>Pasa</v>
      </c>
      <c r="CG13" s="146" t="str">
        <f ca="1">RESULTADOS!BK30</f>
        <v>Pasa</v>
      </c>
      <c r="CH13" s="146" t="str">
        <f ca="1">RESULTADOS!BL30</f>
        <v>Pasa</v>
      </c>
      <c r="CI13" s="146" t="str">
        <f ca="1">RESULTADOS!BM30</f>
        <v>Pasa</v>
      </c>
      <c r="CJ13" s="146" t="str">
        <f ca="1">RESULTADOS!BN30</f>
        <v>Pasa</v>
      </c>
      <c r="CK13" s="146" t="str">
        <f ca="1">RESULTADOS!BO30</f>
        <v>Pasa</v>
      </c>
      <c r="CL13" s="146" t="str">
        <f ca="1">RESULTADOS!BP30</f>
        <v>N/A</v>
      </c>
      <c r="CM13" s="146" t="str">
        <f ca="1">RESULTADOS!BQ30</f>
        <v>N/A</v>
      </c>
      <c r="CN13" s="146" t="str">
        <f ca="1">RESULTADOS!BR30</f>
        <v>Pasa</v>
      </c>
      <c r="CO13" s="146" t="str">
        <f ca="1">RESULTADOS!BS30</f>
        <v>N/A</v>
      </c>
      <c r="CP13" s="146" t="str">
        <f ca="1">RESULTADOS!BT30</f>
        <v>Falla</v>
      </c>
      <c r="CQ13" s="146" t="str">
        <f ca="1">RESULTADOS!BU30</f>
        <v>N/A</v>
      </c>
      <c r="CR13" s="146" t="str">
        <f ca="1">RESULTADOS!BV30</f>
        <v>Pasa</v>
      </c>
      <c r="CS13" s="146" t="str">
        <f ca="1">RESULTADOS!BW30</f>
        <v>N/A</v>
      </c>
      <c r="CT13" s="146" t="str">
        <f ca="1">RESULTADOS!BX30</f>
        <v>Pasa</v>
      </c>
      <c r="CU13" s="146" t="str">
        <f ca="1">RESULTADOS!BY30</f>
        <v>Pasa</v>
      </c>
      <c r="CV13" s="146" t="str">
        <f ca="1">RESULTADOS!BZ30</f>
        <v>N/A</v>
      </c>
      <c r="CW13" s="146" t="str">
        <f ca="1">RESULTADOS!CA30</f>
        <v>Falla</v>
      </c>
      <c r="CX13" s="146" t="str">
        <f ca="1">RESULTADOS!CB30</f>
        <v>N/A</v>
      </c>
      <c r="CY13" s="146" t="str">
        <f ca="1">RESULTADOS!CC30</f>
        <v>N/A</v>
      </c>
      <c r="CZ13" s="146" t="str">
        <f ca="1">RESULTADOS!CD30</f>
        <v>Pasa</v>
      </c>
      <c r="DA13" s="146" t="str">
        <f ca="1">RESULTADOS!CE30</f>
        <v>Pasa</v>
      </c>
      <c r="DB13" s="146" t="str">
        <f ca="1">RESULTADOS!CF30</f>
        <v>N/A</v>
      </c>
      <c r="DC13" s="146" t="str">
        <f ca="1">RESULTADOS!CG30</f>
        <v>Falla</v>
      </c>
      <c r="DD13" s="146" t="str">
        <f ca="1">RESULTADOS!CH30</f>
        <v>N/A</v>
      </c>
      <c r="DE13" s="146" t="str">
        <f ca="1">RESULTADOS!CI30</f>
        <v>N/A</v>
      </c>
      <c r="DF13" s="146" t="str">
        <f ca="1">RESULTADOS!CJ30</f>
        <v>N/A</v>
      </c>
      <c r="DG13" s="146" t="str">
        <f ca="1">RESULTADOS!CK30</f>
        <v>N/A</v>
      </c>
      <c r="DH13" s="146" t="str">
        <f ca="1">RESULTADOS!CL30</f>
        <v>N/A</v>
      </c>
      <c r="DI13" s="146" t="str">
        <f ca="1">RESULTADOS!CM30</f>
        <v>N/A</v>
      </c>
      <c r="DJ13" s="146" t="str">
        <f ca="1">RESULTADOS!CN30</f>
        <v>Pasa</v>
      </c>
      <c r="DK13" s="146" t="str">
        <f ca="1">RESULTADOS!CO30</f>
        <v>Falla</v>
      </c>
      <c r="DL13" s="146" t="str">
        <f ca="1">RESULTADOS!CP30</f>
        <v>Pasa</v>
      </c>
      <c r="DM13" s="146" t="str">
        <f ca="1">RESULTADOS!CQ30</f>
        <v>Falla</v>
      </c>
      <c r="DN13" s="146" t="str">
        <f ca="1">RESULTADOS!CR30</f>
        <v>Falla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140</v>
      </c>
      <c r="D14" s="147">
        <f>'01.Definición de ámbito'!C35</f>
        <v>44949</v>
      </c>
      <c r="E14" s="144" t="s">
        <v>301</v>
      </c>
      <c r="F14" s="147" t="str">
        <f>'02.Tecnologías'!I11</f>
        <v>No</v>
      </c>
      <c r="G14" s="205"/>
      <c r="H14" s="205"/>
      <c r="I14" s="205"/>
      <c r="J14" s="205"/>
      <c r="K14" s="40" t="s">
        <v>269</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Gestión Ambiental</v>
      </c>
      <c r="V14" s="148" t="str">
        <f t="shared" si="0"/>
        <v>Página web</v>
      </c>
      <c r="W14" s="148" t="str">
        <v>Aleatoria</v>
      </c>
      <c r="X14" s="148" t="str">
        <f>RESULTADOS!D31</f>
        <v>https://www.comunidad.madrid/hospital/clinicosancarlos/nosotros/gestion-ambiental</v>
      </c>
      <c r="Y14" s="148" t="str">
        <v>Home - Nosotros - Gestión ambiental</v>
      </c>
      <c r="Z14" s="237">
        <v>0</v>
      </c>
      <c r="AA14" s="146" t="str">
        <f ca="1">RESULTADOS!E31</f>
        <v>N/A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Pasa</v>
      </c>
      <c r="BG14" s="146" t="str">
        <f ca="1">RESULTADOS!AK31</f>
        <v>N/A</v>
      </c>
      <c r="BH14" s="146" t="str">
        <f ca="1">RESULTADOS!AL31</f>
        <v>N/A</v>
      </c>
      <c r="BI14" s="146" t="str">
        <f ca="1">RESULTADOS!AM31</f>
        <v>Falla</v>
      </c>
      <c r="BJ14" s="146" t="str">
        <f ca="1">RESULTADOS!AN31</f>
        <v>Falla</v>
      </c>
      <c r="BK14" s="146" t="str">
        <f ca="1">RESULTADOS!AO31</f>
        <v>Falla</v>
      </c>
      <c r="BL14" s="146" t="str">
        <f ca="1">RESULTADOS!AP31</f>
        <v>Pasa</v>
      </c>
      <c r="BM14" s="146" t="str">
        <f ca="1">RESULTADOS!AQ31</f>
        <v>N/A</v>
      </c>
      <c r="BN14" s="146" t="str">
        <f ca="1">RESULTADOS!AR31</f>
        <v>N/A</v>
      </c>
      <c r="BO14" s="146" t="str">
        <f ca="1">RESULTADOS!AS31</f>
        <v>N/A</v>
      </c>
      <c r="BP14" s="146" t="str">
        <f ca="1">RESULTADOS!AT31</f>
        <v>Pasa</v>
      </c>
      <c r="BQ14" s="146" t="str">
        <f ca="1">RESULTADOS!AU31</f>
        <v>N/A</v>
      </c>
      <c r="BR14" s="146" t="str">
        <f ca="1">RESULTADOS!AV31</f>
        <v>Pasa</v>
      </c>
      <c r="BS14" s="146" t="str">
        <f ca="1">RESULTADOS!AW31</f>
        <v>Falla</v>
      </c>
      <c r="BT14" s="146" t="str">
        <f ca="1">RESULTADOS!AX31</f>
        <v>N/A</v>
      </c>
      <c r="BU14" s="146" t="str">
        <f ca="1">RESULTADOS!AY31</f>
        <v>Pasa</v>
      </c>
      <c r="BV14" s="146" t="str">
        <f ca="1">RESULTADOS!AZ31</f>
        <v>Falla</v>
      </c>
      <c r="BW14" s="146" t="str">
        <f ca="1">RESULTADOS!BA31</f>
        <v>Pasa</v>
      </c>
      <c r="BX14" s="146" t="str">
        <f ca="1">RESULTADOS!BB31</f>
        <v>Pasa</v>
      </c>
      <c r="BY14" s="146" t="str">
        <f ca="1">RESULTADOS!BC31</f>
        <v>Pasa</v>
      </c>
      <c r="BZ14" s="146" t="str">
        <f ca="1">RESULTADOS!BD31</f>
        <v>Pasa</v>
      </c>
      <c r="CA14" s="146" t="str">
        <f ca="1">RESULTADOS!BE31</f>
        <v>N/A</v>
      </c>
      <c r="CB14" s="146" t="str">
        <f ca="1">RESULTADOS!BF31</f>
        <v>N/A</v>
      </c>
      <c r="CC14" s="146" t="str">
        <f ca="1">RESULTADOS!BG31</f>
        <v>N/A</v>
      </c>
      <c r="CD14" s="146" t="str">
        <f ca="1">RESULTADOS!BH31</f>
        <v>N/A</v>
      </c>
      <c r="CE14" s="146" t="str">
        <f ca="1">RESULTADOS!BI31</f>
        <v>N/A</v>
      </c>
      <c r="CF14" s="146" t="str">
        <f ca="1">RESULTADOS!BJ31</f>
        <v>Pasa</v>
      </c>
      <c r="CG14" s="146" t="str">
        <f ca="1">RESULTADOS!BK31</f>
        <v>Pasa</v>
      </c>
      <c r="CH14" s="146" t="str">
        <f ca="1">RESULTADOS!BL31</f>
        <v>Pasa</v>
      </c>
      <c r="CI14" s="146" t="str">
        <f ca="1">RESULTADOS!BM31</f>
        <v>Pasa</v>
      </c>
      <c r="CJ14" s="146" t="str">
        <f ca="1">RESULTADOS!BN31</f>
        <v>Pasa</v>
      </c>
      <c r="CK14" s="146" t="str">
        <f ca="1">RESULTADOS!BO31</f>
        <v>Pasa</v>
      </c>
      <c r="CL14" s="146" t="str">
        <f ca="1">RESULTADOS!BP31</f>
        <v>N/A</v>
      </c>
      <c r="CM14" s="146" t="str">
        <f ca="1">RESULTADOS!BQ31</f>
        <v>N/A</v>
      </c>
      <c r="CN14" s="146" t="str">
        <f ca="1">RESULTADOS!BR31</f>
        <v>Pasa</v>
      </c>
      <c r="CO14" s="146" t="str">
        <f ca="1">RESULTADOS!BS31</f>
        <v>N/A</v>
      </c>
      <c r="CP14" s="146" t="str">
        <f ca="1">RESULTADOS!BT31</f>
        <v>Falla</v>
      </c>
      <c r="CQ14" s="146" t="str">
        <f ca="1">RESULTADOS!BU31</f>
        <v>N/A</v>
      </c>
      <c r="CR14" s="146" t="str">
        <f ca="1">RESULTADOS!BV31</f>
        <v>Pasa</v>
      </c>
      <c r="CS14" s="146" t="str">
        <f ca="1">RESULTADOS!BW31</f>
        <v>N/A</v>
      </c>
      <c r="CT14" s="146" t="str">
        <f ca="1">RESULTADOS!BX31</f>
        <v>Pasa</v>
      </c>
      <c r="CU14" s="146" t="str">
        <f ca="1">RESULTADOS!BY31</f>
        <v>Pasa</v>
      </c>
      <c r="CV14" s="146" t="str">
        <f ca="1">RESULTADOS!BZ31</f>
        <v>N/A</v>
      </c>
      <c r="CW14" s="146" t="str">
        <f ca="1">RESULTADOS!CA31</f>
        <v>Falla</v>
      </c>
      <c r="CX14" s="146" t="str">
        <f ca="1">RESULTADOS!CB31</f>
        <v>N/A</v>
      </c>
      <c r="CY14" s="146" t="str">
        <f ca="1">RESULTADOS!CC31</f>
        <v>N/A</v>
      </c>
      <c r="CZ14" s="146" t="str">
        <f ca="1">RESULTADOS!CD31</f>
        <v>Pasa</v>
      </c>
      <c r="DA14" s="146" t="str">
        <f ca="1">RESULTADOS!CE31</f>
        <v>Pasa</v>
      </c>
      <c r="DB14" s="146" t="str">
        <f ca="1">RESULTADOS!CF31</f>
        <v>N/A</v>
      </c>
      <c r="DC14" s="146" t="str">
        <f ca="1">RESULTADOS!CG31</f>
        <v>Falla</v>
      </c>
      <c r="DD14" s="146" t="str">
        <f ca="1">RESULTADOS!CH31</f>
        <v>N/A</v>
      </c>
      <c r="DE14" s="146" t="str">
        <f ca="1">RESULTADOS!CI31</f>
        <v>N/A</v>
      </c>
      <c r="DF14" s="146" t="str">
        <f ca="1">RESULTADOS!CJ31</f>
        <v>N/A</v>
      </c>
      <c r="DG14" s="146" t="str">
        <f ca="1">RESULTADOS!CK31</f>
        <v>N/A</v>
      </c>
      <c r="DH14" s="146" t="str">
        <f ca="1">RESULTADOS!CL31</f>
        <v>N/A</v>
      </c>
      <c r="DI14" s="146" t="str">
        <f ca="1">RESULTADOS!CM31</f>
        <v>N/A</v>
      </c>
      <c r="DJ14" s="146" t="str">
        <f ca="1">RESULTADOS!CN31</f>
        <v>Pasa</v>
      </c>
      <c r="DK14" s="146" t="str">
        <f ca="1">RESULTADOS!CO31</f>
        <v>Falla</v>
      </c>
      <c r="DL14" s="146" t="str">
        <f ca="1">RESULTADOS!CP31</f>
        <v>Pasa</v>
      </c>
      <c r="DM14" s="146" t="str">
        <f ca="1">RESULTADOS!CQ31</f>
        <v>Falla</v>
      </c>
      <c r="DN14" s="146" t="str">
        <f ca="1">RESULTADOS!CR31</f>
        <v>Falla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142</v>
      </c>
      <c r="D15" s="147" t="str">
        <f>'01.Definición de ámbito'!C39</f>
        <v>UNE-EN 301 549:2022 - excluyendo el contenido excluido por el RD 1112/2018</v>
      </c>
      <c r="E15" s="144" t="s">
        <v>304</v>
      </c>
      <c r="F15" s="147" t="str">
        <f>'02.Tecnologías'!I12</f>
        <v>No</v>
      </c>
      <c r="G15" s="205"/>
      <c r="H15" s="205"/>
      <c r="I15" s="205"/>
      <c r="J15" s="205"/>
      <c r="T15" s="148">
        <f>RESULTADOS!B32</f>
        <v>13</v>
      </c>
      <c r="U15" s="148" t="str">
        <f>RESULTADOS!C32</f>
        <v>Proveedores</v>
      </c>
      <c r="V15" s="148" t="str">
        <f t="shared" si="0"/>
        <v>Página web</v>
      </c>
      <c r="W15" s="148" t="str">
        <v>Pagina tipo</v>
      </c>
      <c r="X15" s="148" t="str">
        <f>RESULTADOS!D32</f>
        <v>https://www.comunidad.madrid/hospital/clinicosancarlos/nosotros/proveedores-0</v>
      </c>
      <c r="Y15" s="148" t="str">
        <v>Home - Nosotros - Proveedores</v>
      </c>
      <c r="Z15" s="237">
        <v>0</v>
      </c>
      <c r="AA15" s="146" t="str">
        <f ca="1">RESULTADOS!E32</f>
        <v>N/A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Pasa</v>
      </c>
      <c r="BG15" s="146" t="str">
        <f ca="1">RESULTADOS!AK32</f>
        <v>N/A</v>
      </c>
      <c r="BH15" s="146" t="str">
        <f ca="1">RESULTADOS!AL32</f>
        <v>N/A</v>
      </c>
      <c r="BI15" s="146" t="str">
        <f ca="1">RESULTADOS!AM32</f>
        <v>Falla</v>
      </c>
      <c r="BJ15" s="146" t="str">
        <f ca="1">RESULTADOS!AN32</f>
        <v>Falla</v>
      </c>
      <c r="BK15" s="146" t="str">
        <f ca="1">RESULTADOS!AO32</f>
        <v>Falla</v>
      </c>
      <c r="BL15" s="146" t="str">
        <f ca="1">RESULTADOS!AP32</f>
        <v>Pasa</v>
      </c>
      <c r="BM15" s="146" t="str">
        <f ca="1">RESULTADOS!AQ32</f>
        <v>N/A</v>
      </c>
      <c r="BN15" s="146" t="str">
        <f ca="1">RESULTADOS!AR32</f>
        <v>N/A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Pasa</v>
      </c>
      <c r="BV15" s="146" t="str">
        <f ca="1">RESULTADOS!AZ32</f>
        <v>Falla</v>
      </c>
      <c r="BW15" s="146" t="str">
        <f ca="1">RESULTADOS!BA32</f>
        <v>Pasa</v>
      </c>
      <c r="BX15" s="146" t="str">
        <f ca="1">RESULTADOS!BB32</f>
        <v>Pasa</v>
      </c>
      <c r="BY15" s="146" t="str">
        <f ca="1">RESULTADOS!BC32</f>
        <v>Pasa</v>
      </c>
      <c r="BZ15" s="146" t="str">
        <f ca="1">RESULTADOS!BD32</f>
        <v>Pasa</v>
      </c>
      <c r="CA15" s="146" t="str">
        <f ca="1">RESULTADOS!BE32</f>
        <v>N/A</v>
      </c>
      <c r="CB15" s="146" t="str">
        <f ca="1">RESULTADOS!BF32</f>
        <v>N/A</v>
      </c>
      <c r="CC15" s="146" t="str">
        <f ca="1">RESULTADOS!BG32</f>
        <v>N/A</v>
      </c>
      <c r="CD15" s="146" t="str">
        <f ca="1">RESULTADOS!BH32</f>
        <v>N/A</v>
      </c>
      <c r="CE15" s="146" t="str">
        <f ca="1">RESULTADOS!BI32</f>
        <v>N/A</v>
      </c>
      <c r="CF15" s="146" t="str">
        <f ca="1">RESULTADOS!BJ32</f>
        <v>Pasa</v>
      </c>
      <c r="CG15" s="146" t="str">
        <f ca="1">RESULTADOS!BK32</f>
        <v>Pasa</v>
      </c>
      <c r="CH15" s="146" t="str">
        <f ca="1">RESULTADOS!BL32</f>
        <v>Pasa</v>
      </c>
      <c r="CI15" s="146" t="str">
        <f ca="1">RESULTADOS!BM32</f>
        <v>Pasa</v>
      </c>
      <c r="CJ15" s="146" t="str">
        <f ca="1">RESULTADOS!BN32</f>
        <v>Pasa</v>
      </c>
      <c r="CK15" s="146" t="str">
        <f ca="1">RESULTADOS!BO32</f>
        <v>Pasa</v>
      </c>
      <c r="CL15" s="146" t="str">
        <f ca="1">RESULTADOS!BP32</f>
        <v>N/A</v>
      </c>
      <c r="CM15" s="146" t="str">
        <f ca="1">RESULTADOS!BQ32</f>
        <v>N/A</v>
      </c>
      <c r="CN15" s="146" t="str">
        <f ca="1">RESULTADOS!BR32</f>
        <v>Pasa</v>
      </c>
      <c r="CO15" s="146" t="str">
        <f ca="1">RESULTADOS!BS32</f>
        <v>N/A</v>
      </c>
      <c r="CP15" s="146" t="str">
        <f ca="1">RESULTADOS!BT32</f>
        <v>Falla</v>
      </c>
      <c r="CQ15" s="146" t="str">
        <f ca="1">RESULTADOS!BU32</f>
        <v>N/A</v>
      </c>
      <c r="CR15" s="146" t="str">
        <f ca="1">RESULTADOS!BV32</f>
        <v>Pasa</v>
      </c>
      <c r="CS15" s="146" t="str">
        <f ca="1">RESULTADOS!BW32</f>
        <v>N/A</v>
      </c>
      <c r="CT15" s="146" t="str">
        <f ca="1">RESULTADOS!BX32</f>
        <v>Pasa</v>
      </c>
      <c r="CU15" s="146" t="str">
        <f ca="1">RESULTADOS!BY32</f>
        <v>Pasa</v>
      </c>
      <c r="CV15" s="146" t="str">
        <f ca="1">RESULTADOS!BZ32</f>
        <v>N/A</v>
      </c>
      <c r="CW15" s="146" t="str">
        <f ca="1">RESULTADOS!CA32</f>
        <v>Falla</v>
      </c>
      <c r="CX15" s="146" t="str">
        <f ca="1">RESULTADOS!CB32</f>
        <v>N/A</v>
      </c>
      <c r="CY15" s="146" t="str">
        <f ca="1">RESULTADOS!CC32</f>
        <v>N/A</v>
      </c>
      <c r="CZ15" s="146" t="str">
        <f ca="1">RESULTADOS!CD32</f>
        <v>Pasa</v>
      </c>
      <c r="DA15" s="146" t="str">
        <f ca="1">RESULTADOS!CE32</f>
        <v>Pasa</v>
      </c>
      <c r="DB15" s="146" t="str">
        <f ca="1">RESULTADOS!CF32</f>
        <v>N/A</v>
      </c>
      <c r="DC15" s="146" t="str">
        <f ca="1">RESULTADOS!CG32</f>
        <v>Falla</v>
      </c>
      <c r="DD15" s="146" t="str">
        <f ca="1">RESULTADOS!CH32</f>
        <v>N/A</v>
      </c>
      <c r="DE15" s="146" t="str">
        <f ca="1">RESULTADOS!CI32</f>
        <v>N/A</v>
      </c>
      <c r="DF15" s="146" t="str">
        <f ca="1">RESULTADOS!CJ32</f>
        <v>N/A</v>
      </c>
      <c r="DG15" s="146" t="str">
        <f ca="1">RESULTADOS!CK32</f>
        <v>N/A</v>
      </c>
      <c r="DH15" s="146" t="str">
        <f ca="1">RESULTADOS!CL32</f>
        <v>N/A</v>
      </c>
      <c r="DI15" s="146" t="str">
        <f ca="1">RESULTADOS!CM32</f>
        <v>N/A</v>
      </c>
      <c r="DJ15" s="146" t="str">
        <f ca="1">RESULTADOS!CN32</f>
        <v>Pasa</v>
      </c>
      <c r="DK15" s="146" t="str">
        <f ca="1">RESULTADOS!CO32</f>
        <v>Falla</v>
      </c>
      <c r="DL15" s="146" t="str">
        <f ca="1">RESULTADOS!CP32</f>
        <v>Pasa</v>
      </c>
      <c r="DM15" s="146" t="str">
        <f ca="1">RESULTADOS!CQ32</f>
        <v>Falla</v>
      </c>
      <c r="DN15" s="146" t="str">
        <f ca="1">RESULTADOS!CR32</f>
        <v>Falla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143</v>
      </c>
      <c r="D16" s="147"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205"/>
      <c r="G16" s="205"/>
      <c r="H16" s="205"/>
      <c r="I16" s="205"/>
      <c r="J16" s="205"/>
      <c r="T16" s="148">
        <f>RESULTADOS!B33</f>
        <v>14</v>
      </c>
      <c r="U16" s="148" t="str">
        <f>RESULTADOS!C33</f>
        <v>Aviso legal</v>
      </c>
      <c r="V16" s="148" t="str">
        <f t="shared" si="0"/>
        <v>Página web</v>
      </c>
      <c r="W16" s="148" t="str">
        <v>Legal</v>
      </c>
      <c r="X16" s="148" t="str">
        <f>RESULTADOS!D33</f>
        <v>https://www.comunidad.madrid/hospital/clinicosancarlos/aviso-legal-privacidad</v>
      </c>
      <c r="Y16" s="148" t="str">
        <v>Home - Aviso legal-Privacidad</v>
      </c>
      <c r="Z16" s="237">
        <v>0</v>
      </c>
      <c r="AA16" s="146" t="str">
        <f ca="1">RESULTADOS!E33</f>
        <v>N/A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Pasa</v>
      </c>
      <c r="BG16" s="146" t="str">
        <f ca="1">RESULTADOS!AK33</f>
        <v>N/A</v>
      </c>
      <c r="BH16" s="146" t="str">
        <f ca="1">RESULTADOS!AL33</f>
        <v>N/A</v>
      </c>
      <c r="BI16" s="146" t="str">
        <f ca="1">RESULTADOS!AM33</f>
        <v>Falla</v>
      </c>
      <c r="BJ16" s="146" t="str">
        <f ca="1">RESULTADOS!AN33</f>
        <v>Falla</v>
      </c>
      <c r="BK16" s="146" t="str">
        <f ca="1">RESULTADOS!AO33</f>
        <v>Falla</v>
      </c>
      <c r="BL16" s="146" t="str">
        <f ca="1">RESULTADOS!AP33</f>
        <v>Pasa</v>
      </c>
      <c r="BM16" s="146" t="str">
        <f ca="1">RESULTADOS!AQ33</f>
        <v>N/A</v>
      </c>
      <c r="BN16" s="146" t="str">
        <f ca="1">RESULTADOS!AR33</f>
        <v>N/A</v>
      </c>
      <c r="BO16" s="146" t="str">
        <f ca="1">RESULTADOS!AS33</f>
        <v>N/A</v>
      </c>
      <c r="BP16" s="146" t="str">
        <f ca="1">RESULTADOS!AT33</f>
        <v>Pasa</v>
      </c>
      <c r="BQ16" s="146" t="str">
        <f ca="1">RESULTADOS!AU33</f>
        <v>N/A</v>
      </c>
      <c r="BR16" s="146" t="str">
        <f ca="1">RESULTADOS!AV33</f>
        <v>Pasa</v>
      </c>
      <c r="BS16" s="146" t="str">
        <f ca="1">RESULTADOS!AW33</f>
        <v>Falla</v>
      </c>
      <c r="BT16" s="146" t="str">
        <f ca="1">RESULTADOS!AX33</f>
        <v>N/A</v>
      </c>
      <c r="BU16" s="146" t="str">
        <f ca="1">RESULTADOS!AY33</f>
        <v>Pasa</v>
      </c>
      <c r="BV16" s="146" t="str">
        <f ca="1">RESULTADOS!AZ33</f>
        <v>Falla</v>
      </c>
      <c r="BW16" s="146" t="str">
        <f ca="1">RESULTADOS!BA33</f>
        <v>Pasa</v>
      </c>
      <c r="BX16" s="146" t="str">
        <f ca="1">RESULTADOS!BB33</f>
        <v>Pasa</v>
      </c>
      <c r="BY16" s="146" t="str">
        <f ca="1">RESULTADOS!BC33</f>
        <v>Pasa</v>
      </c>
      <c r="BZ16" s="146" t="str">
        <f ca="1">RESULTADOS!BD33</f>
        <v>Pasa</v>
      </c>
      <c r="CA16" s="146" t="str">
        <f ca="1">RESULTADOS!BE33</f>
        <v>N/A</v>
      </c>
      <c r="CB16" s="146" t="str">
        <f ca="1">RESULTADOS!BF33</f>
        <v>N/A</v>
      </c>
      <c r="CC16" s="146" t="str">
        <f ca="1">RESULTADOS!BG33</f>
        <v>N/A</v>
      </c>
      <c r="CD16" s="146" t="str">
        <f ca="1">RESULTADOS!BH33</f>
        <v>N/A</v>
      </c>
      <c r="CE16" s="146" t="str">
        <f ca="1">RESULTADOS!BI33</f>
        <v>N/A</v>
      </c>
      <c r="CF16" s="146" t="str">
        <f ca="1">RESULTADOS!BJ33</f>
        <v>Pasa</v>
      </c>
      <c r="CG16" s="146" t="str">
        <f ca="1">RESULTADOS!BK33</f>
        <v>Pasa</v>
      </c>
      <c r="CH16" s="146" t="str">
        <f ca="1">RESULTADOS!BL33</f>
        <v>Pasa</v>
      </c>
      <c r="CI16" s="146" t="str">
        <f ca="1">RESULTADOS!BM33</f>
        <v>Pasa</v>
      </c>
      <c r="CJ16" s="146" t="str">
        <f ca="1">RESULTADOS!BN33</f>
        <v>Pasa</v>
      </c>
      <c r="CK16" s="146" t="str">
        <f ca="1">RESULTADOS!BO33</f>
        <v>Pasa</v>
      </c>
      <c r="CL16" s="146" t="str">
        <f ca="1">RESULTADOS!BP33</f>
        <v>N/A</v>
      </c>
      <c r="CM16" s="146" t="str">
        <f ca="1">RESULTADOS!BQ33</f>
        <v>N/A</v>
      </c>
      <c r="CN16" s="146" t="str">
        <f ca="1">RESULTADOS!BR33</f>
        <v>Pasa</v>
      </c>
      <c r="CO16" s="146" t="str">
        <f ca="1">RESULTADOS!BS33</f>
        <v>N/A</v>
      </c>
      <c r="CP16" s="146" t="str">
        <f ca="1">RESULTADOS!BT33</f>
        <v>Falla</v>
      </c>
      <c r="CQ16" s="146" t="str">
        <f ca="1">RESULTADOS!BU33</f>
        <v>N/A</v>
      </c>
      <c r="CR16" s="146" t="str">
        <f ca="1">RESULTADOS!BV33</f>
        <v>Pasa</v>
      </c>
      <c r="CS16" s="146" t="str">
        <f ca="1">RESULTADOS!BW33</f>
        <v>N/A</v>
      </c>
      <c r="CT16" s="146" t="str">
        <f ca="1">RESULTADOS!BX33</f>
        <v>Pasa</v>
      </c>
      <c r="CU16" s="146" t="str">
        <f ca="1">RESULTADOS!BY33</f>
        <v>Pasa</v>
      </c>
      <c r="CV16" s="146" t="str">
        <f ca="1">RESULTADOS!BZ33</f>
        <v>N/A</v>
      </c>
      <c r="CW16" s="146" t="str">
        <f ca="1">RESULTADOS!CA33</f>
        <v>Falla</v>
      </c>
      <c r="CX16" s="146" t="str">
        <f ca="1">RESULTADOS!CB33</f>
        <v>N/A</v>
      </c>
      <c r="CY16" s="146" t="str">
        <f ca="1">RESULTADOS!CC33</f>
        <v>N/A</v>
      </c>
      <c r="CZ16" s="146" t="str">
        <f ca="1">RESULTADOS!CD33</f>
        <v>Pasa</v>
      </c>
      <c r="DA16" s="146" t="str">
        <f ca="1">RESULTADOS!CE33</f>
        <v>Pasa</v>
      </c>
      <c r="DB16" s="146" t="str">
        <f ca="1">RESULTADOS!CF33</f>
        <v>N/A</v>
      </c>
      <c r="DC16" s="146" t="str">
        <f ca="1">RESULTADOS!CG33</f>
        <v>Falla</v>
      </c>
      <c r="DD16" s="146" t="str">
        <f ca="1">RESULTADOS!CH33</f>
        <v>N/A</v>
      </c>
      <c r="DE16" s="146" t="str">
        <f ca="1">RESULTADOS!CI33</f>
        <v>N/A</v>
      </c>
      <c r="DF16" s="146" t="str">
        <f ca="1">RESULTADOS!CJ33</f>
        <v>N/A</v>
      </c>
      <c r="DG16" s="146" t="str">
        <f ca="1">RESULTADOS!CK33</f>
        <v>N/A</v>
      </c>
      <c r="DH16" s="146" t="str">
        <f ca="1">RESULTADOS!CL33</f>
        <v>N/A</v>
      </c>
      <c r="DI16" s="146" t="str">
        <f ca="1">RESULTADOS!CM33</f>
        <v>N/A</v>
      </c>
      <c r="DJ16" s="146" t="str">
        <f ca="1">RESULTADOS!CN33</f>
        <v>Pasa</v>
      </c>
      <c r="DK16" s="146" t="str">
        <f ca="1">RESULTADOS!CO33</f>
        <v>Falla</v>
      </c>
      <c r="DL16" s="146" t="str">
        <f ca="1">RESULTADOS!CP33</f>
        <v>Pasa</v>
      </c>
      <c r="DM16" s="146" t="str">
        <f ca="1">RESULTADOS!CQ33</f>
        <v>Falla</v>
      </c>
      <c r="DN16" s="146" t="str">
        <f ca="1">RESULTADOS!CR33</f>
        <v>Falla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144</v>
      </c>
      <c r="D17" s="147">
        <f>'01.Definición de ámbito'!C45</f>
        <v>0</v>
      </c>
      <c r="K17" s="40" t="s">
        <v>138</v>
      </c>
      <c r="T17" s="148">
        <f>RESULTADOS!B34</f>
        <v>15</v>
      </c>
      <c r="U17" s="148" t="str">
        <f>RESULTADOS!C34</f>
        <v>Mapa web</v>
      </c>
      <c r="V17" s="148" t="str">
        <f t="shared" si="0"/>
        <v>Página web</v>
      </c>
      <c r="W17" s="148" t="str">
        <v>Mapa web</v>
      </c>
      <c r="X17" s="148" t="str">
        <f>RESULTADOS!D34</f>
        <v>https://www.comunidad.madrid/hospital/clinicosancarlos/sitemap</v>
      </c>
      <c r="Y17" s="148" t="str">
        <v>Home - Mapa Web</v>
      </c>
      <c r="Z17" s="237">
        <v>0</v>
      </c>
      <c r="AA17" s="146" t="str">
        <f ca="1">RESULTADOS!E34</f>
        <v>N/A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Falla</v>
      </c>
      <c r="BJ17" s="146" t="str">
        <f ca="1">RESULTADOS!AN34</f>
        <v>Falla</v>
      </c>
      <c r="BK17" s="146" t="str">
        <f ca="1">RESULTADOS!AO34</f>
        <v>Falla</v>
      </c>
      <c r="BL17" s="146" t="str">
        <f ca="1">RESULTADOS!AP34</f>
        <v>Pasa</v>
      </c>
      <c r="BM17" s="146" t="str">
        <f ca="1">RESULTADOS!AQ34</f>
        <v>N/A</v>
      </c>
      <c r="BN17" s="146" t="str">
        <f ca="1">RESULTADOS!AR34</f>
        <v>N/A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Pasa</v>
      </c>
      <c r="BV17" s="146" t="str">
        <f ca="1">RESULTADOS!AZ34</f>
        <v>Pasa</v>
      </c>
      <c r="BW17" s="146" t="str">
        <f ca="1">RESULTADOS!BA34</f>
        <v>Pasa</v>
      </c>
      <c r="BX17" s="146" t="str">
        <f ca="1">RESULTADOS!BB34</f>
        <v>Pasa</v>
      </c>
      <c r="BY17" s="146" t="str">
        <f ca="1">RESULTADOS!BC34</f>
        <v>Pasa</v>
      </c>
      <c r="BZ17" s="146" t="str">
        <f ca="1">RESULTADOS!BD34</f>
        <v>Pasa</v>
      </c>
      <c r="CA17" s="146" t="str">
        <f ca="1">RESULTADOS!BE34</f>
        <v>N/A</v>
      </c>
      <c r="CB17" s="146" t="str">
        <f ca="1">RESULTADOS!BF34</f>
        <v>N/A</v>
      </c>
      <c r="CC17" s="146" t="str">
        <f ca="1">RESULTADOS!BG34</f>
        <v>N/A</v>
      </c>
      <c r="CD17" s="146" t="str">
        <f ca="1">RESULTADOS!BH34</f>
        <v>N/A</v>
      </c>
      <c r="CE17" s="146" t="str">
        <f ca="1">RESULTADOS!BI34</f>
        <v>N/A</v>
      </c>
      <c r="CF17" s="146" t="str">
        <f ca="1">RESULTADOS!BJ34</f>
        <v>Pasa</v>
      </c>
      <c r="CG17" s="146" t="str">
        <f ca="1">RESULTADOS!BK34</f>
        <v>Pasa</v>
      </c>
      <c r="CH17" s="146" t="str">
        <f ca="1">RESULTADOS!BL34</f>
        <v>Pasa</v>
      </c>
      <c r="CI17" s="146" t="str">
        <f ca="1">RESULTADOS!BM34</f>
        <v>Pasa</v>
      </c>
      <c r="CJ17" s="146" t="str">
        <f ca="1">RESULTADOS!BN34</f>
        <v>Pasa</v>
      </c>
      <c r="CK17" s="146" t="str">
        <f ca="1">RESULTADOS!BO34</f>
        <v>Pasa</v>
      </c>
      <c r="CL17" s="146" t="str">
        <f ca="1">RESULTADOS!BP34</f>
        <v>N/A</v>
      </c>
      <c r="CM17" s="146" t="str">
        <f ca="1">RESULTADOS!BQ34</f>
        <v>N/A</v>
      </c>
      <c r="CN17" s="146" t="str">
        <f ca="1">RESULTADOS!BR34</f>
        <v>Pasa</v>
      </c>
      <c r="CO17" s="146" t="str">
        <f ca="1">RESULTADOS!BS34</f>
        <v>N/A</v>
      </c>
      <c r="CP17" s="146" t="str">
        <f ca="1">RESULTADOS!BT34</f>
        <v>Falla</v>
      </c>
      <c r="CQ17" s="146" t="str">
        <f ca="1">RESULTADOS!BU34</f>
        <v>N/A</v>
      </c>
      <c r="CR17" s="146" t="str">
        <f ca="1">RESULTADOS!BV34</f>
        <v>Pasa</v>
      </c>
      <c r="CS17" s="146" t="str">
        <f ca="1">RESULTADOS!BW34</f>
        <v>N/A</v>
      </c>
      <c r="CT17" s="146" t="str">
        <f ca="1">RESULTADOS!BX34</f>
        <v>Pasa</v>
      </c>
      <c r="CU17" s="146" t="str">
        <f ca="1">RESULTADOS!BY34</f>
        <v>Pasa</v>
      </c>
      <c r="CV17" s="146" t="str">
        <f ca="1">RESULTADOS!BZ34</f>
        <v>N/A</v>
      </c>
      <c r="CW17" s="146" t="str">
        <f ca="1">RESULTADOS!CA34</f>
        <v>Falla</v>
      </c>
      <c r="CX17" s="146" t="str">
        <f ca="1">RESULTADOS!CB34</f>
        <v>N/A</v>
      </c>
      <c r="CY17" s="146" t="str">
        <f ca="1">RESULTADOS!CC34</f>
        <v>N/A</v>
      </c>
      <c r="CZ17" s="146" t="str">
        <f ca="1">RESULTADOS!CD34</f>
        <v>Pasa</v>
      </c>
      <c r="DA17" s="146" t="str">
        <f ca="1">RESULTADOS!CE34</f>
        <v>Pasa</v>
      </c>
      <c r="DB17" s="146" t="str">
        <f ca="1">RESULTADOS!CF34</f>
        <v>N/A</v>
      </c>
      <c r="DC17" s="146" t="str">
        <f ca="1">RESULTADOS!CG34</f>
        <v>Falla</v>
      </c>
      <c r="DD17" s="146" t="str">
        <f ca="1">RESULTADOS!CH34</f>
        <v>N/A</v>
      </c>
      <c r="DE17" s="146" t="str">
        <f ca="1">RESULTADOS!CI34</f>
        <v>N/A</v>
      </c>
      <c r="DF17" s="146" t="str">
        <f ca="1">RESULTADOS!CJ34</f>
        <v>N/A</v>
      </c>
      <c r="DG17" s="146" t="str">
        <f ca="1">RESULTADOS!CK34</f>
        <v>N/A</v>
      </c>
      <c r="DH17" s="146" t="str">
        <f ca="1">RESULTADOS!CL34</f>
        <v>N/A</v>
      </c>
      <c r="DI17" s="146" t="str">
        <f ca="1">RESULTADOS!CM34</f>
        <v>N/A</v>
      </c>
      <c r="DJ17" s="146" t="str">
        <f ca="1">RESULTADOS!CN34</f>
        <v>Pasa</v>
      </c>
      <c r="DK17" s="146" t="str">
        <f ca="1">RESULTADOS!CO34</f>
        <v>Falla</v>
      </c>
      <c r="DL17" s="146" t="str">
        <f ca="1">RESULTADOS!CP34</f>
        <v>Pasa</v>
      </c>
      <c r="DM17" s="146" t="str">
        <f ca="1">RESULTADOS!CQ34</f>
        <v>Falla</v>
      </c>
      <c r="DN17" s="146" t="str">
        <f ca="1">RESULTADOS!CR34</f>
        <v>Falla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No</v>
      </c>
      <c r="K18" s="40" t="s">
        <v>26</v>
      </c>
      <c r="L18" s="148">
        <f ca="1">RESULTADOS!L8</f>
        <v>383</v>
      </c>
      <c r="M18" s="216">
        <f ca="1">RESULTADOS!M8</f>
        <v>0.26019021739130432</v>
      </c>
      <c r="T18" s="148">
        <f>RESULTADOS!B35</f>
        <v>16</v>
      </c>
      <c r="U18" s="148" t="str">
        <f>RESULTADOS!C35</f>
        <v>Accesibilidad</v>
      </c>
      <c r="V18" s="148" t="str">
        <f t="shared" si="0"/>
        <v>Página web</v>
      </c>
      <c r="W18" s="148" t="str">
        <v>Declaración accesibilidad</v>
      </c>
      <c r="X18" s="148" t="str">
        <f>RESULTADOS!D35</f>
        <v>https://www.comunidad.madrid/hospital/clinicosancarlos/declaracion-accesibilidad</v>
      </c>
      <c r="Y18" s="148" t="str">
        <v>Home - Accesibilidad</v>
      </c>
      <c r="Z18" s="237">
        <v>0</v>
      </c>
      <c r="AA18" s="146" t="str">
        <f ca="1">RESULTADOS!E35</f>
        <v>N/A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Pasa</v>
      </c>
      <c r="BG18" s="146" t="str">
        <f ca="1">RESULTADOS!AK35</f>
        <v>N/A</v>
      </c>
      <c r="BH18" s="146" t="str">
        <f ca="1">RESULTADOS!AL35</f>
        <v>N/A</v>
      </c>
      <c r="BI18" s="146" t="str">
        <f ca="1">RESULTADOS!AM35</f>
        <v>Falla</v>
      </c>
      <c r="BJ18" s="146" t="str">
        <f ca="1">RESULTADOS!AN35</f>
        <v>Falla</v>
      </c>
      <c r="BK18" s="146" t="str">
        <f ca="1">RESULTADOS!AO35</f>
        <v>Falla</v>
      </c>
      <c r="BL18" s="146" t="str">
        <f ca="1">RESULTADOS!AP35</f>
        <v>Pasa</v>
      </c>
      <c r="BM18" s="146" t="str">
        <f ca="1">RESULTADOS!AQ35</f>
        <v>N/A</v>
      </c>
      <c r="BN18" s="146" t="str">
        <f ca="1">RESULTADOS!AR35</f>
        <v>N/A</v>
      </c>
      <c r="BO18" s="146" t="str">
        <f ca="1">RESULTADOS!AS35</f>
        <v>N/A</v>
      </c>
      <c r="BP18" s="146" t="str">
        <f ca="1">RESULTADOS!AT35</f>
        <v>Pasa</v>
      </c>
      <c r="BQ18" s="146" t="str">
        <f ca="1">RESULTADOS!AU35</f>
        <v>N/A</v>
      </c>
      <c r="BR18" s="146" t="str">
        <f ca="1">RESULTADOS!AV35</f>
        <v>Pasa</v>
      </c>
      <c r="BS18" s="146" t="str">
        <f ca="1">RESULTADOS!AW35</f>
        <v>Falla</v>
      </c>
      <c r="BT18" s="146" t="str">
        <f ca="1">RESULTADOS!AX35</f>
        <v>N/A</v>
      </c>
      <c r="BU18" s="146" t="str">
        <f ca="1">RESULTADOS!AY35</f>
        <v>Pasa</v>
      </c>
      <c r="BV18" s="146" t="str">
        <f ca="1">RESULTADOS!AZ35</f>
        <v>Pasa</v>
      </c>
      <c r="BW18" s="146" t="str">
        <f ca="1">RESULTADOS!BA35</f>
        <v>Pasa</v>
      </c>
      <c r="BX18" s="146" t="str">
        <f ca="1">RESULTADOS!BB35</f>
        <v>Pasa</v>
      </c>
      <c r="BY18" s="146" t="str">
        <f ca="1">RESULTADOS!BC35</f>
        <v>Pasa</v>
      </c>
      <c r="BZ18" s="146" t="str">
        <f ca="1">RESULTADOS!BD35</f>
        <v>Pasa</v>
      </c>
      <c r="CA18" s="146" t="str">
        <f ca="1">RESULTADOS!BE35</f>
        <v>N/A</v>
      </c>
      <c r="CB18" s="146" t="str">
        <f ca="1">RESULTADOS!BF35</f>
        <v>N/A</v>
      </c>
      <c r="CC18" s="146" t="str">
        <f ca="1">RESULTADOS!BG35</f>
        <v>N/A</v>
      </c>
      <c r="CD18" s="146" t="str">
        <f ca="1">RESULTADOS!BH35</f>
        <v>N/A</v>
      </c>
      <c r="CE18" s="146" t="str">
        <f ca="1">RESULTADOS!BI35</f>
        <v>N/A</v>
      </c>
      <c r="CF18" s="146" t="str">
        <f ca="1">RESULTADOS!BJ35</f>
        <v>Pasa</v>
      </c>
      <c r="CG18" s="146" t="str">
        <f ca="1">RESULTADOS!BK35</f>
        <v>Pasa</v>
      </c>
      <c r="CH18" s="146" t="str">
        <f ca="1">RESULTADOS!BL35</f>
        <v>Pasa</v>
      </c>
      <c r="CI18" s="146" t="str">
        <f ca="1">RESULTADOS!BM35</f>
        <v>Pasa</v>
      </c>
      <c r="CJ18" s="146" t="str">
        <f ca="1">RESULTADOS!BN35</f>
        <v>Pasa</v>
      </c>
      <c r="CK18" s="146" t="str">
        <f ca="1">RESULTADOS!BO35</f>
        <v>Pasa</v>
      </c>
      <c r="CL18" s="146" t="str">
        <f ca="1">RESULTADOS!BP35</f>
        <v>N/A</v>
      </c>
      <c r="CM18" s="146" t="str">
        <f ca="1">RESULTADOS!BQ35</f>
        <v>N/A</v>
      </c>
      <c r="CN18" s="146" t="str">
        <f ca="1">RESULTADOS!BR35</f>
        <v>Pasa</v>
      </c>
      <c r="CO18" s="146" t="str">
        <f ca="1">RESULTADOS!BS35</f>
        <v>N/A</v>
      </c>
      <c r="CP18" s="146" t="str">
        <f ca="1">RESULTADOS!BT35</f>
        <v>Falla</v>
      </c>
      <c r="CQ18" s="146" t="str">
        <f ca="1">RESULTADOS!BU35</f>
        <v>N/A</v>
      </c>
      <c r="CR18" s="146" t="str">
        <f ca="1">RESULTADOS!BV35</f>
        <v>Pasa</v>
      </c>
      <c r="CS18" s="146" t="str">
        <f ca="1">RESULTADOS!BW35</f>
        <v>N/A</v>
      </c>
      <c r="CT18" s="146" t="str">
        <f ca="1">RESULTADOS!BX35</f>
        <v>Pasa</v>
      </c>
      <c r="CU18" s="146" t="str">
        <f ca="1">RESULTADOS!BY35</f>
        <v>Pasa</v>
      </c>
      <c r="CV18" s="146" t="str">
        <f ca="1">RESULTADOS!BZ35</f>
        <v>N/A</v>
      </c>
      <c r="CW18" s="146" t="str">
        <f ca="1">RESULTADOS!CA35</f>
        <v>Falla</v>
      </c>
      <c r="CX18" s="146" t="str">
        <f ca="1">RESULTADOS!CB35</f>
        <v>N/A</v>
      </c>
      <c r="CY18" s="146" t="str">
        <f ca="1">RESULTADOS!CC35</f>
        <v>N/A</v>
      </c>
      <c r="CZ18" s="146" t="str">
        <f ca="1">RESULTADOS!CD35</f>
        <v>Pasa</v>
      </c>
      <c r="DA18" s="146" t="str">
        <f ca="1">RESULTADOS!CE35</f>
        <v>Pasa</v>
      </c>
      <c r="DB18" s="146" t="str">
        <f ca="1">RESULTADOS!CF35</f>
        <v>N/A</v>
      </c>
      <c r="DC18" s="146" t="str">
        <f ca="1">RESULTADOS!CG35</f>
        <v>Falla</v>
      </c>
      <c r="DD18" s="146" t="str">
        <f ca="1">RESULTADOS!CH35</f>
        <v>N/A</v>
      </c>
      <c r="DE18" s="146" t="str">
        <f ca="1">RESULTADOS!CI35</f>
        <v>N/A</v>
      </c>
      <c r="DF18" s="146" t="str">
        <f ca="1">RESULTADOS!CJ35</f>
        <v>N/A</v>
      </c>
      <c r="DG18" s="146" t="str">
        <f ca="1">RESULTADOS!CK35</f>
        <v>N/A</v>
      </c>
      <c r="DH18" s="146" t="str">
        <f ca="1">RESULTADOS!CL35</f>
        <v>N/A</v>
      </c>
      <c r="DI18" s="146" t="str">
        <f ca="1">RESULTADOS!CM35</f>
        <v>N/A</v>
      </c>
      <c r="DJ18" s="146" t="str">
        <f ca="1">RESULTADOS!CN35</f>
        <v>Pasa</v>
      </c>
      <c r="DK18" s="146" t="str">
        <f ca="1">RESULTADOS!CO35</f>
        <v>Falla</v>
      </c>
      <c r="DL18" s="146" t="str">
        <f ca="1">RESULTADOS!CP35</f>
        <v>Pasa</v>
      </c>
      <c r="DM18" s="146" t="str">
        <f ca="1">RESULTADOS!CQ35</f>
        <v>Falla</v>
      </c>
      <c r="DN18" s="146" t="str">
        <f ca="1">RESULTADOS!CR35</f>
        <v>Falla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274</v>
      </c>
      <c r="D19" s="147" t="str">
        <f>'01.Definición de ámbito'!D49</f>
        <v>No</v>
      </c>
      <c r="K19" s="40" t="s">
        <v>28</v>
      </c>
      <c r="L19" s="148">
        <f ca="1">RESULTADOS!L9</f>
        <v>176</v>
      </c>
      <c r="M19" s="216">
        <f ca="1">RESULTADOS!M9</f>
        <v>0.11956521739130435</v>
      </c>
      <c r="T19" s="148" t="str">
        <f>RESULTADOS!B36</f>
        <v/>
      </c>
      <c r="U19" s="148" t="str">
        <f>RESULTADOS!C36</f>
        <v/>
      </c>
      <c r="V19" s="148" t="str">
        <f t="shared" si="0"/>
        <v/>
      </c>
      <c r="W19" s="148" t="str">
        <v/>
      </c>
      <c r="X19" s="148" t="str">
        <f>RESULTADOS!D36</f>
        <v/>
      </c>
      <c r="Y19" s="148" t="str">
        <v/>
      </c>
      <c r="Z19" s="237" t="str">
        <v/>
      </c>
      <c r="AA19" s="146" t="str">
        <f ca="1">RESULTADOS!E36</f>
        <v/>
      </c>
      <c r="AB19" s="146" t="str">
        <f ca="1">RESULTADOS!F36</f>
        <v/>
      </c>
      <c r="AC19" s="146" t="str">
        <f ca="1">RESULTADOS!G36</f>
        <v/>
      </c>
      <c r="AD19" s="146" t="str">
        <f ca="1">RESULTADOS!H36</f>
        <v/>
      </c>
      <c r="AE19" s="146" t="str">
        <f ca="1">RESULTADOS!I36</f>
        <v/>
      </c>
      <c r="AF19" s="146" t="str">
        <f ca="1">RESULTADOS!J36</f>
        <v/>
      </c>
      <c r="AG19" s="146" t="str">
        <f ca="1">RESULTADOS!K36</f>
        <v/>
      </c>
      <c r="AH19" s="146" t="str">
        <f ca="1">RESULTADOS!L36</f>
        <v/>
      </c>
      <c r="AI19" s="146" t="str">
        <f ca="1">RESULTADOS!M36</f>
        <v/>
      </c>
      <c r="AJ19" s="146" t="str">
        <f ca="1">RESULTADOS!N36</f>
        <v/>
      </c>
      <c r="AK19" s="146" t="str">
        <f ca="1">RESULTADOS!O36</f>
        <v/>
      </c>
      <c r="AL19" s="146" t="str">
        <f ca="1">RESULTADOS!P36</f>
        <v/>
      </c>
      <c r="AM19" s="146" t="str">
        <f ca="1">RESULTADOS!Q36</f>
        <v/>
      </c>
      <c r="AN19" s="146" t="str">
        <f ca="1">RESULTADOS!R36</f>
        <v/>
      </c>
      <c r="AO19" s="146" t="str">
        <f ca="1">RESULTADOS!S36</f>
        <v/>
      </c>
      <c r="AP19" s="146" t="str">
        <f ca="1">RESULTADOS!T36</f>
        <v/>
      </c>
      <c r="AQ19" s="146" t="str">
        <f ca="1">RESULTADOS!U36</f>
        <v/>
      </c>
      <c r="AR19" s="146" t="str">
        <f ca="1">RESULTADOS!V36</f>
        <v/>
      </c>
      <c r="AS19" s="146" t="str">
        <f ca="1">RESULTADOS!W36</f>
        <v/>
      </c>
      <c r="AT19" s="146" t="str">
        <f ca="1">RESULTADOS!X36</f>
        <v/>
      </c>
      <c r="AU19" s="146" t="str">
        <f ca="1">RESULTADOS!Y36</f>
        <v/>
      </c>
      <c r="AV19" s="146" t="str">
        <f ca="1">RESULTADOS!Z36</f>
        <v/>
      </c>
      <c r="AW19" s="146" t="str">
        <f ca="1">RESULTADOS!AA36</f>
        <v/>
      </c>
      <c r="AX19" s="146" t="str">
        <f ca="1">RESULTADOS!AB36</f>
        <v/>
      </c>
      <c r="AY19" s="146" t="str">
        <f ca="1">RESULTADOS!AC36</f>
        <v/>
      </c>
      <c r="AZ19" s="146" t="str">
        <f ca="1">RESULTADOS!AD36</f>
        <v/>
      </c>
      <c r="BA19" s="146" t="str">
        <f ca="1">RESULTADOS!AE36</f>
        <v/>
      </c>
      <c r="BB19" s="146" t="str">
        <f ca="1">RESULTADOS!AF36</f>
        <v/>
      </c>
      <c r="BC19" s="146" t="str">
        <f ca="1">RESULTADOS!AG36</f>
        <v/>
      </c>
      <c r="BD19" s="146" t="str">
        <f ca="1">RESULTADOS!AH36</f>
        <v/>
      </c>
      <c r="BE19" s="146" t="str">
        <f ca="1">RESULTADOS!AI36</f>
        <v/>
      </c>
      <c r="BF19" s="146" t="str">
        <f ca="1">RESULTADOS!AJ36</f>
        <v/>
      </c>
      <c r="BG19" s="146" t="str">
        <f ca="1">RESULTADOS!AK36</f>
        <v/>
      </c>
      <c r="BH19" s="146" t="str">
        <f ca="1">RESULTADOS!AL36</f>
        <v/>
      </c>
      <c r="BI19" s="146" t="str">
        <f ca="1">RESULTADOS!AM36</f>
        <v/>
      </c>
      <c r="BJ19" s="146" t="str">
        <f ca="1">RESULTADOS!AN36</f>
        <v/>
      </c>
      <c r="BK19" s="146" t="str">
        <f ca="1">RESULTADOS!AO36</f>
        <v/>
      </c>
      <c r="BL19" s="146" t="str">
        <f ca="1">RESULTADOS!AP36</f>
        <v/>
      </c>
      <c r="BM19" s="146" t="str">
        <f ca="1">RESULTADOS!AQ36</f>
        <v/>
      </c>
      <c r="BN19" s="146" t="str">
        <f ca="1">RESULTADOS!AR36</f>
        <v/>
      </c>
      <c r="BO19" s="146" t="str">
        <f ca="1">RESULTADOS!AS36</f>
        <v/>
      </c>
      <c r="BP19" s="146" t="str">
        <f ca="1">RESULTADOS!AT36</f>
        <v/>
      </c>
      <c r="BQ19" s="146" t="str">
        <f ca="1">RESULTADOS!AU36</f>
        <v/>
      </c>
      <c r="BR19" s="146" t="str">
        <f ca="1">RESULTADOS!AV36</f>
        <v/>
      </c>
      <c r="BS19" s="146" t="str">
        <f ca="1">RESULTADOS!AW36</f>
        <v/>
      </c>
      <c r="BT19" s="146" t="str">
        <f ca="1">RESULTADOS!AX36</f>
        <v/>
      </c>
      <c r="BU19" s="146" t="str">
        <f ca="1">RESULTADOS!AY36</f>
        <v/>
      </c>
      <c r="BV19" s="146" t="str">
        <f ca="1">RESULTADOS!AZ36</f>
        <v/>
      </c>
      <c r="BW19" s="146" t="str">
        <f ca="1">RESULTADOS!BA36</f>
        <v/>
      </c>
      <c r="BX19" s="146" t="str">
        <f ca="1">RESULTADOS!BB36</f>
        <v/>
      </c>
      <c r="BY19" s="146" t="str">
        <f ca="1">RESULTADOS!BC36</f>
        <v/>
      </c>
      <c r="BZ19" s="146" t="str">
        <f ca="1">RESULTADOS!BD36</f>
        <v/>
      </c>
      <c r="CA19" s="146" t="str">
        <f ca="1">RESULTADOS!BE36</f>
        <v/>
      </c>
      <c r="CB19" s="146" t="str">
        <f ca="1">RESULTADOS!BF36</f>
        <v/>
      </c>
      <c r="CC19" s="146" t="str">
        <f ca="1">RESULTADOS!BG36</f>
        <v/>
      </c>
      <c r="CD19" s="146" t="str">
        <f ca="1">RESULTADOS!BH36</f>
        <v/>
      </c>
      <c r="CE19" s="146" t="str">
        <f ca="1">RESULTADOS!BI36</f>
        <v/>
      </c>
      <c r="CF19" s="146" t="str">
        <f ca="1">RESULTADOS!BJ36</f>
        <v/>
      </c>
      <c r="CG19" s="146" t="str">
        <f ca="1">RESULTADOS!BK36</f>
        <v/>
      </c>
      <c r="CH19" s="146" t="str">
        <f ca="1">RESULTADOS!BL36</f>
        <v/>
      </c>
      <c r="CI19" s="146" t="str">
        <f ca="1">RESULTADOS!BM36</f>
        <v/>
      </c>
      <c r="CJ19" s="146" t="str">
        <f ca="1">RESULTADOS!BN36</f>
        <v/>
      </c>
      <c r="CK19" s="146" t="str">
        <f ca="1">RESULTADOS!BO36</f>
        <v/>
      </c>
      <c r="CL19" s="146" t="str">
        <f ca="1">RESULTADOS!BP36</f>
        <v/>
      </c>
      <c r="CM19" s="146" t="str">
        <f ca="1">RESULTADOS!BQ36</f>
        <v/>
      </c>
      <c r="CN19" s="146" t="str">
        <f ca="1">RESULTADOS!BR36</f>
        <v/>
      </c>
      <c r="CO19" s="146" t="str">
        <f ca="1">RESULTADOS!BS36</f>
        <v/>
      </c>
      <c r="CP19" s="146" t="str">
        <f ca="1">RESULTADOS!BT36</f>
        <v/>
      </c>
      <c r="CQ19" s="146" t="str">
        <f ca="1">RESULTADOS!BU36</f>
        <v/>
      </c>
      <c r="CR19" s="146" t="str">
        <f ca="1">RESULTADOS!BV36</f>
        <v/>
      </c>
      <c r="CS19" s="146" t="str">
        <f ca="1">RESULTADOS!BW36</f>
        <v/>
      </c>
      <c r="CT19" s="146" t="str">
        <f ca="1">RESULTADOS!BX36</f>
        <v/>
      </c>
      <c r="CU19" s="146" t="str">
        <f ca="1">RESULTADOS!BY36</f>
        <v/>
      </c>
      <c r="CV19" s="146" t="str">
        <f ca="1">RESULTADOS!BZ36</f>
        <v/>
      </c>
      <c r="CW19" s="146" t="str">
        <f ca="1">RESULTADOS!CA36</f>
        <v/>
      </c>
      <c r="CX19" s="146" t="str">
        <f ca="1">RESULTADOS!CB36</f>
        <v/>
      </c>
      <c r="CY19" s="146" t="str">
        <f ca="1">RESULTADOS!CC36</f>
        <v/>
      </c>
      <c r="CZ19" s="146" t="str">
        <f ca="1">RESULTADOS!CD36</f>
        <v/>
      </c>
      <c r="DA19" s="146" t="str">
        <f ca="1">RESULTADOS!CE36</f>
        <v/>
      </c>
      <c r="DB19" s="146" t="str">
        <f ca="1">RESULTADOS!CF36</f>
        <v/>
      </c>
      <c r="DC19" s="146" t="str">
        <f ca="1">RESULTADOS!CG36</f>
        <v/>
      </c>
      <c r="DD19" s="146" t="str">
        <f ca="1">RESULTADOS!CH36</f>
        <v/>
      </c>
      <c r="DE19" s="146" t="str">
        <f ca="1">RESULTADOS!CI36</f>
        <v/>
      </c>
      <c r="DF19" s="146" t="str">
        <f ca="1">RESULTADOS!CJ36</f>
        <v/>
      </c>
      <c r="DG19" s="146" t="str">
        <f ca="1">RESULTADOS!CK36</f>
        <v/>
      </c>
      <c r="DH19" s="146" t="str">
        <f ca="1">RESULTADOS!CL36</f>
        <v/>
      </c>
      <c r="DI19" s="146" t="str">
        <f ca="1">RESULTADOS!CM36</f>
        <v/>
      </c>
      <c r="DJ19" s="146" t="str">
        <f ca="1">RESULTADOS!CN36</f>
        <v/>
      </c>
      <c r="DK19" s="146" t="str">
        <f ca="1">RESULTADOS!CO36</f>
        <v/>
      </c>
      <c r="DL19" s="146" t="str">
        <f ca="1">RESULTADOS!CP36</f>
        <v/>
      </c>
      <c r="DM19" s="146" t="str">
        <f ca="1">RESULTADOS!CQ36</f>
        <v/>
      </c>
      <c r="DN19" s="146" t="str">
        <f ca="1">RESULTADOS!CR36</f>
        <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275</v>
      </c>
      <c r="D20" s="147" t="str">
        <f>'01.Definición de ámbito'!D50</f>
        <v>No</v>
      </c>
      <c r="K20" s="40" t="s">
        <v>31</v>
      </c>
      <c r="L20" s="148">
        <f ca="1">RESULTADOS!L10</f>
        <v>913</v>
      </c>
      <c r="M20" s="216">
        <f ca="1">RESULTADOS!M10</f>
        <v>0.62024456521739135</v>
      </c>
      <c r="T20" s="148" t="str">
        <f>RESULTADOS!B37</f>
        <v/>
      </c>
      <c r="U20" s="148" t="str">
        <f>RESULTADOS!C37</f>
        <v/>
      </c>
      <c r="V20" s="148" t="str">
        <f t="shared" si="0"/>
        <v/>
      </c>
      <c r="W20" s="148" t="str">
        <v/>
      </c>
      <c r="X20" s="148" t="str">
        <f>RESULTADOS!D37</f>
        <v/>
      </c>
      <c r="Y20" s="148" t="str">
        <v/>
      </c>
      <c r="Z20" s="237" t="str">
        <v/>
      </c>
      <c r="AA20" s="146" t="str">
        <f ca="1">RESULTADOS!E37</f>
        <v/>
      </c>
      <c r="AB20" s="146" t="str">
        <f ca="1">RESULTADOS!F37</f>
        <v/>
      </c>
      <c r="AC20" s="146" t="str">
        <f ca="1">RESULTADOS!G37</f>
        <v/>
      </c>
      <c r="AD20" s="146" t="str">
        <f ca="1">RESULTADOS!H37</f>
        <v/>
      </c>
      <c r="AE20" s="146" t="str">
        <f ca="1">RESULTADOS!I37</f>
        <v/>
      </c>
      <c r="AF20" s="146" t="str">
        <f ca="1">RESULTADOS!J37</f>
        <v/>
      </c>
      <c r="AG20" s="146" t="str">
        <f ca="1">RESULTADOS!K37</f>
        <v/>
      </c>
      <c r="AH20" s="146" t="str">
        <f ca="1">RESULTADOS!L37</f>
        <v/>
      </c>
      <c r="AI20" s="146" t="str">
        <f ca="1">RESULTADOS!M37</f>
        <v/>
      </c>
      <c r="AJ20" s="146" t="str">
        <f ca="1">RESULTADOS!N37</f>
        <v/>
      </c>
      <c r="AK20" s="146" t="str">
        <f ca="1">RESULTADOS!O37</f>
        <v/>
      </c>
      <c r="AL20" s="146" t="str">
        <f ca="1">RESULTADOS!P37</f>
        <v/>
      </c>
      <c r="AM20" s="146" t="str">
        <f ca="1">RESULTADOS!Q37</f>
        <v/>
      </c>
      <c r="AN20" s="146" t="str">
        <f ca="1">RESULTADOS!R37</f>
        <v/>
      </c>
      <c r="AO20" s="146" t="str">
        <f ca="1">RESULTADOS!S37</f>
        <v/>
      </c>
      <c r="AP20" s="146" t="str">
        <f ca="1">RESULTADOS!T37</f>
        <v/>
      </c>
      <c r="AQ20" s="146" t="str">
        <f ca="1">RESULTADOS!U37</f>
        <v/>
      </c>
      <c r="AR20" s="146" t="str">
        <f ca="1">RESULTADOS!V37</f>
        <v/>
      </c>
      <c r="AS20" s="146" t="str">
        <f ca="1">RESULTADOS!W37</f>
        <v/>
      </c>
      <c r="AT20" s="146" t="str">
        <f ca="1">RESULTADOS!X37</f>
        <v/>
      </c>
      <c r="AU20" s="146" t="str">
        <f ca="1">RESULTADOS!Y37</f>
        <v/>
      </c>
      <c r="AV20" s="146" t="str">
        <f ca="1">RESULTADOS!Z37</f>
        <v/>
      </c>
      <c r="AW20" s="146" t="str">
        <f ca="1">RESULTADOS!AA37</f>
        <v/>
      </c>
      <c r="AX20" s="146" t="str">
        <f ca="1">RESULTADOS!AB37</f>
        <v/>
      </c>
      <c r="AY20" s="146" t="str">
        <f ca="1">RESULTADOS!AC37</f>
        <v/>
      </c>
      <c r="AZ20" s="146" t="str">
        <f ca="1">RESULTADOS!AD37</f>
        <v/>
      </c>
      <c r="BA20" s="146" t="str">
        <f ca="1">RESULTADOS!AE37</f>
        <v/>
      </c>
      <c r="BB20" s="146" t="str">
        <f ca="1">RESULTADOS!AF37</f>
        <v/>
      </c>
      <c r="BC20" s="146" t="str">
        <f ca="1">RESULTADOS!AG37</f>
        <v/>
      </c>
      <c r="BD20" s="146" t="str">
        <f ca="1">RESULTADOS!AH37</f>
        <v/>
      </c>
      <c r="BE20" s="146" t="str">
        <f ca="1">RESULTADOS!AI37</f>
        <v/>
      </c>
      <c r="BF20" s="146" t="str">
        <f ca="1">RESULTADOS!AJ37</f>
        <v/>
      </c>
      <c r="BG20" s="146" t="str">
        <f ca="1">RESULTADOS!AK37</f>
        <v/>
      </c>
      <c r="BH20" s="146" t="str">
        <f ca="1">RESULTADOS!AL37</f>
        <v/>
      </c>
      <c r="BI20" s="146" t="str">
        <f ca="1">RESULTADOS!AM37</f>
        <v/>
      </c>
      <c r="BJ20" s="146" t="str">
        <f ca="1">RESULTADOS!AN37</f>
        <v/>
      </c>
      <c r="BK20" s="146" t="str">
        <f ca="1">RESULTADOS!AO37</f>
        <v/>
      </c>
      <c r="BL20" s="146" t="str">
        <f ca="1">RESULTADOS!AP37</f>
        <v/>
      </c>
      <c r="BM20" s="146" t="str">
        <f ca="1">RESULTADOS!AQ37</f>
        <v/>
      </c>
      <c r="BN20" s="146" t="str">
        <f ca="1">RESULTADOS!AR37</f>
        <v/>
      </c>
      <c r="BO20" s="146" t="str">
        <f ca="1">RESULTADOS!AS37</f>
        <v/>
      </c>
      <c r="BP20" s="146" t="str">
        <f ca="1">RESULTADOS!AT37</f>
        <v/>
      </c>
      <c r="BQ20" s="146" t="str">
        <f ca="1">RESULTADOS!AU37</f>
        <v/>
      </c>
      <c r="BR20" s="146" t="str">
        <f ca="1">RESULTADOS!AV37</f>
        <v/>
      </c>
      <c r="BS20" s="146" t="str">
        <f ca="1">RESULTADOS!AW37</f>
        <v/>
      </c>
      <c r="BT20" s="146" t="str">
        <f ca="1">RESULTADOS!AX37</f>
        <v/>
      </c>
      <c r="BU20" s="146" t="str">
        <f ca="1">RESULTADOS!AY37</f>
        <v/>
      </c>
      <c r="BV20" s="146" t="str">
        <f ca="1">RESULTADOS!AZ37</f>
        <v/>
      </c>
      <c r="BW20" s="146" t="str">
        <f ca="1">RESULTADOS!BA37</f>
        <v/>
      </c>
      <c r="BX20" s="146" t="str">
        <f ca="1">RESULTADOS!BB37</f>
        <v/>
      </c>
      <c r="BY20" s="146" t="str">
        <f ca="1">RESULTADOS!BC37</f>
        <v/>
      </c>
      <c r="BZ20" s="146" t="str">
        <f ca="1">RESULTADOS!BD37</f>
        <v/>
      </c>
      <c r="CA20" s="146" t="str">
        <f ca="1">RESULTADOS!BE37</f>
        <v/>
      </c>
      <c r="CB20" s="146" t="str">
        <f ca="1">RESULTADOS!BF37</f>
        <v/>
      </c>
      <c r="CC20" s="146" t="str">
        <f ca="1">RESULTADOS!BG37</f>
        <v/>
      </c>
      <c r="CD20" s="146" t="str">
        <f ca="1">RESULTADOS!BH37</f>
        <v/>
      </c>
      <c r="CE20" s="146" t="str">
        <f ca="1">RESULTADOS!BI37</f>
        <v/>
      </c>
      <c r="CF20" s="146" t="str">
        <f ca="1">RESULTADOS!BJ37</f>
        <v/>
      </c>
      <c r="CG20" s="146" t="str">
        <f ca="1">RESULTADOS!BK37</f>
        <v/>
      </c>
      <c r="CH20" s="146" t="str">
        <f ca="1">RESULTADOS!BL37</f>
        <v/>
      </c>
      <c r="CI20" s="146" t="str">
        <f ca="1">RESULTADOS!BM37</f>
        <v/>
      </c>
      <c r="CJ20" s="146" t="str">
        <f ca="1">RESULTADOS!BN37</f>
        <v/>
      </c>
      <c r="CK20" s="146" t="str">
        <f ca="1">RESULTADOS!BO37</f>
        <v/>
      </c>
      <c r="CL20" s="146" t="str">
        <f ca="1">RESULTADOS!BP37</f>
        <v/>
      </c>
      <c r="CM20" s="146" t="str">
        <f ca="1">RESULTADOS!BQ37</f>
        <v/>
      </c>
      <c r="CN20" s="146" t="str">
        <f ca="1">RESULTADOS!BR37</f>
        <v/>
      </c>
      <c r="CO20" s="146" t="str">
        <f ca="1">RESULTADOS!BS37</f>
        <v/>
      </c>
      <c r="CP20" s="146" t="str">
        <f ca="1">RESULTADOS!BT37</f>
        <v/>
      </c>
      <c r="CQ20" s="146" t="str">
        <f ca="1">RESULTADOS!BU37</f>
        <v/>
      </c>
      <c r="CR20" s="146" t="str">
        <f ca="1">RESULTADOS!BV37</f>
        <v/>
      </c>
      <c r="CS20" s="146" t="str">
        <f ca="1">RESULTADOS!BW37</f>
        <v/>
      </c>
      <c r="CT20" s="146" t="str">
        <f ca="1">RESULTADOS!BX37</f>
        <v/>
      </c>
      <c r="CU20" s="146" t="str">
        <f ca="1">RESULTADOS!BY37</f>
        <v/>
      </c>
      <c r="CV20" s="146" t="str">
        <f ca="1">RESULTADOS!BZ37</f>
        <v/>
      </c>
      <c r="CW20" s="146" t="str">
        <f ca="1">RESULTADOS!CA37</f>
        <v/>
      </c>
      <c r="CX20" s="146" t="str">
        <f ca="1">RESULTADOS!CB37</f>
        <v/>
      </c>
      <c r="CY20" s="146" t="str">
        <f ca="1">RESULTADOS!CC37</f>
        <v/>
      </c>
      <c r="CZ20" s="146" t="str">
        <f ca="1">RESULTADOS!CD37</f>
        <v/>
      </c>
      <c r="DA20" s="146" t="str">
        <f ca="1">RESULTADOS!CE37</f>
        <v/>
      </c>
      <c r="DB20" s="146" t="str">
        <f ca="1">RESULTADOS!CF37</f>
        <v/>
      </c>
      <c r="DC20" s="146" t="str">
        <f ca="1">RESULTADOS!CG37</f>
        <v/>
      </c>
      <c r="DD20" s="146" t="str">
        <f ca="1">RESULTADOS!CH37</f>
        <v/>
      </c>
      <c r="DE20" s="146" t="str">
        <f ca="1">RESULTADOS!CI37</f>
        <v/>
      </c>
      <c r="DF20" s="146" t="str">
        <f ca="1">RESULTADOS!CJ37</f>
        <v/>
      </c>
      <c r="DG20" s="146" t="str">
        <f ca="1">RESULTADOS!CK37</f>
        <v/>
      </c>
      <c r="DH20" s="146" t="str">
        <f ca="1">RESULTADOS!CL37</f>
        <v/>
      </c>
      <c r="DI20" s="146" t="str">
        <f ca="1">RESULTADOS!CM37</f>
        <v/>
      </c>
      <c r="DJ20" s="146" t="str">
        <f ca="1">RESULTADOS!CN37</f>
        <v/>
      </c>
      <c r="DK20" s="146" t="str">
        <f ca="1">RESULTADOS!CO37</f>
        <v/>
      </c>
      <c r="DL20" s="146" t="str">
        <f ca="1">RESULTADOS!CP37</f>
        <v/>
      </c>
      <c r="DM20" s="146" t="str">
        <f ca="1">RESULTADOS!CQ37</f>
        <v/>
      </c>
      <c r="DN20" s="146" t="str">
        <f ca="1">RESULTADOS!CR37</f>
        <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No</v>
      </c>
      <c r="K21" s="40" t="s">
        <v>48</v>
      </c>
      <c r="L21" s="148">
        <f ca="1">RESULTADOS!L11</f>
        <v>1472</v>
      </c>
      <c r="M21" s="216">
        <f ca="1">RESULTADOS!M11</f>
        <v>1</v>
      </c>
      <c r="T21" s="148" t="str">
        <f>RESULTADOS!B38</f>
        <v/>
      </c>
      <c r="U21" s="148" t="str">
        <f>RESULTADOS!C38</f>
        <v/>
      </c>
      <c r="V21" s="148" t="str">
        <f t="shared" si="0"/>
        <v/>
      </c>
      <c r="W21" s="148" t="str">
        <v/>
      </c>
      <c r="X21" s="148" t="str">
        <f>RESULTADOS!D38</f>
        <v/>
      </c>
      <c r="Y21" s="148" t="str">
        <v/>
      </c>
      <c r="Z21" s="237" t="str">
        <v/>
      </c>
      <c r="AA21" s="146" t="str">
        <f ca="1">RESULTADOS!E38</f>
        <v/>
      </c>
      <c r="AB21" s="146" t="str">
        <f ca="1">RESULTADOS!F38</f>
        <v/>
      </c>
      <c r="AC21" s="146" t="str">
        <f ca="1">RESULTADOS!G38</f>
        <v/>
      </c>
      <c r="AD21" s="146" t="str">
        <f ca="1">RESULTADOS!H38</f>
        <v/>
      </c>
      <c r="AE21" s="146" t="str">
        <f ca="1">RESULTADOS!I38</f>
        <v/>
      </c>
      <c r="AF21" s="146" t="str">
        <f ca="1">RESULTADOS!J38</f>
        <v/>
      </c>
      <c r="AG21" s="146" t="str">
        <f ca="1">RESULTADOS!K38</f>
        <v/>
      </c>
      <c r="AH21" s="146" t="str">
        <f ca="1">RESULTADOS!L38</f>
        <v/>
      </c>
      <c r="AI21" s="146" t="str">
        <f ca="1">RESULTADOS!M38</f>
        <v/>
      </c>
      <c r="AJ21" s="146" t="str">
        <f ca="1">RESULTADOS!N38</f>
        <v/>
      </c>
      <c r="AK21" s="146" t="str">
        <f ca="1">RESULTADOS!O38</f>
        <v/>
      </c>
      <c r="AL21" s="146" t="str">
        <f ca="1">RESULTADOS!P38</f>
        <v/>
      </c>
      <c r="AM21" s="146" t="str">
        <f ca="1">RESULTADOS!Q38</f>
        <v/>
      </c>
      <c r="AN21" s="146" t="str">
        <f ca="1">RESULTADOS!R38</f>
        <v/>
      </c>
      <c r="AO21" s="146" t="str">
        <f ca="1">RESULTADOS!S38</f>
        <v/>
      </c>
      <c r="AP21" s="146" t="str">
        <f ca="1">RESULTADOS!T38</f>
        <v/>
      </c>
      <c r="AQ21" s="146" t="str">
        <f ca="1">RESULTADOS!U38</f>
        <v/>
      </c>
      <c r="AR21" s="146" t="str">
        <f ca="1">RESULTADOS!V38</f>
        <v/>
      </c>
      <c r="AS21" s="146" t="str">
        <f ca="1">RESULTADOS!W38</f>
        <v/>
      </c>
      <c r="AT21" s="146" t="str">
        <f ca="1">RESULTADOS!X38</f>
        <v/>
      </c>
      <c r="AU21" s="146" t="str">
        <f ca="1">RESULTADOS!Y38</f>
        <v/>
      </c>
      <c r="AV21" s="146" t="str">
        <f ca="1">RESULTADOS!Z38</f>
        <v/>
      </c>
      <c r="AW21" s="146" t="str">
        <f ca="1">RESULTADOS!AA38</f>
        <v/>
      </c>
      <c r="AX21" s="146" t="str">
        <f ca="1">RESULTADOS!AB38</f>
        <v/>
      </c>
      <c r="AY21" s="146" t="str">
        <f ca="1">RESULTADOS!AC38</f>
        <v/>
      </c>
      <c r="AZ21" s="146" t="str">
        <f ca="1">RESULTADOS!AD38</f>
        <v/>
      </c>
      <c r="BA21" s="146" t="str">
        <f ca="1">RESULTADOS!AE38</f>
        <v/>
      </c>
      <c r="BB21" s="146" t="str">
        <f ca="1">RESULTADOS!AF38</f>
        <v/>
      </c>
      <c r="BC21" s="146" t="str">
        <f ca="1">RESULTADOS!AG38</f>
        <v/>
      </c>
      <c r="BD21" s="146" t="str">
        <f ca="1">RESULTADOS!AH38</f>
        <v/>
      </c>
      <c r="BE21" s="146" t="str">
        <f ca="1">RESULTADOS!AI38</f>
        <v/>
      </c>
      <c r="BF21" s="146" t="str">
        <f ca="1">RESULTADOS!AJ38</f>
        <v/>
      </c>
      <c r="BG21" s="146" t="str">
        <f ca="1">RESULTADOS!AK38</f>
        <v/>
      </c>
      <c r="BH21" s="146" t="str">
        <f ca="1">RESULTADOS!AL38</f>
        <v/>
      </c>
      <c r="BI21" s="146" t="str">
        <f ca="1">RESULTADOS!AM38</f>
        <v/>
      </c>
      <c r="BJ21" s="146" t="str">
        <f ca="1">RESULTADOS!AN38</f>
        <v/>
      </c>
      <c r="BK21" s="146" t="str">
        <f ca="1">RESULTADOS!AO38</f>
        <v/>
      </c>
      <c r="BL21" s="146" t="str">
        <f ca="1">RESULTADOS!AP38</f>
        <v/>
      </c>
      <c r="BM21" s="146" t="str">
        <f ca="1">RESULTADOS!AQ38</f>
        <v/>
      </c>
      <c r="BN21" s="146" t="str">
        <f ca="1">RESULTADOS!AR38</f>
        <v/>
      </c>
      <c r="BO21" s="146" t="str">
        <f ca="1">RESULTADOS!AS38</f>
        <v/>
      </c>
      <c r="BP21" s="146" t="str">
        <f ca="1">RESULTADOS!AT38</f>
        <v/>
      </c>
      <c r="BQ21" s="146" t="str">
        <f ca="1">RESULTADOS!AU38</f>
        <v/>
      </c>
      <c r="BR21" s="146" t="str">
        <f ca="1">RESULTADOS!AV38</f>
        <v/>
      </c>
      <c r="BS21" s="146" t="str">
        <f ca="1">RESULTADOS!AW38</f>
        <v/>
      </c>
      <c r="BT21" s="146" t="str">
        <f ca="1">RESULTADOS!AX38</f>
        <v/>
      </c>
      <c r="BU21" s="146" t="str">
        <f ca="1">RESULTADOS!AY38</f>
        <v/>
      </c>
      <c r="BV21" s="146" t="str">
        <f ca="1">RESULTADOS!AZ38</f>
        <v/>
      </c>
      <c r="BW21" s="146" t="str">
        <f ca="1">RESULTADOS!BA38</f>
        <v/>
      </c>
      <c r="BX21" s="146" t="str">
        <f ca="1">RESULTADOS!BB38</f>
        <v/>
      </c>
      <c r="BY21" s="146" t="str">
        <f ca="1">RESULTADOS!BC38</f>
        <v/>
      </c>
      <c r="BZ21" s="146" t="str">
        <f ca="1">RESULTADOS!BD38</f>
        <v/>
      </c>
      <c r="CA21" s="146" t="str">
        <f ca="1">RESULTADOS!BE38</f>
        <v/>
      </c>
      <c r="CB21" s="146" t="str">
        <f ca="1">RESULTADOS!BF38</f>
        <v/>
      </c>
      <c r="CC21" s="146" t="str">
        <f ca="1">RESULTADOS!BG38</f>
        <v/>
      </c>
      <c r="CD21" s="146" t="str">
        <f ca="1">RESULTADOS!BH38</f>
        <v/>
      </c>
      <c r="CE21" s="146" t="str">
        <f ca="1">RESULTADOS!BI38</f>
        <v/>
      </c>
      <c r="CF21" s="146" t="str">
        <f ca="1">RESULTADOS!BJ38</f>
        <v/>
      </c>
      <c r="CG21" s="146" t="str">
        <f ca="1">RESULTADOS!BK38</f>
        <v/>
      </c>
      <c r="CH21" s="146" t="str">
        <f ca="1">RESULTADOS!BL38</f>
        <v/>
      </c>
      <c r="CI21" s="146" t="str">
        <f ca="1">RESULTADOS!BM38</f>
        <v/>
      </c>
      <c r="CJ21" s="146" t="str">
        <f ca="1">RESULTADOS!BN38</f>
        <v/>
      </c>
      <c r="CK21" s="146" t="str">
        <f ca="1">RESULTADOS!BO38</f>
        <v/>
      </c>
      <c r="CL21" s="146" t="str">
        <f ca="1">RESULTADOS!BP38</f>
        <v/>
      </c>
      <c r="CM21" s="146" t="str">
        <f ca="1">RESULTADOS!BQ38</f>
        <v/>
      </c>
      <c r="CN21" s="146" t="str">
        <f ca="1">RESULTADOS!BR38</f>
        <v/>
      </c>
      <c r="CO21" s="146" t="str">
        <f ca="1">RESULTADOS!BS38</f>
        <v/>
      </c>
      <c r="CP21" s="146" t="str">
        <f ca="1">RESULTADOS!BT38</f>
        <v/>
      </c>
      <c r="CQ21" s="146" t="str">
        <f ca="1">RESULTADOS!BU38</f>
        <v/>
      </c>
      <c r="CR21" s="146" t="str">
        <f ca="1">RESULTADOS!BV38</f>
        <v/>
      </c>
      <c r="CS21" s="146" t="str">
        <f ca="1">RESULTADOS!BW38</f>
        <v/>
      </c>
      <c r="CT21" s="146" t="str">
        <f ca="1">RESULTADOS!BX38</f>
        <v/>
      </c>
      <c r="CU21" s="146" t="str">
        <f ca="1">RESULTADOS!BY38</f>
        <v/>
      </c>
      <c r="CV21" s="146" t="str">
        <f ca="1">RESULTADOS!BZ38</f>
        <v/>
      </c>
      <c r="CW21" s="146" t="str">
        <f ca="1">RESULTADOS!CA38</f>
        <v/>
      </c>
      <c r="CX21" s="146" t="str">
        <f ca="1">RESULTADOS!CB38</f>
        <v/>
      </c>
      <c r="CY21" s="146" t="str">
        <f ca="1">RESULTADOS!CC38</f>
        <v/>
      </c>
      <c r="CZ21" s="146" t="str">
        <f ca="1">RESULTADOS!CD38</f>
        <v/>
      </c>
      <c r="DA21" s="146" t="str">
        <f ca="1">RESULTADOS!CE38</f>
        <v/>
      </c>
      <c r="DB21" s="146" t="str">
        <f ca="1">RESULTADOS!CF38</f>
        <v/>
      </c>
      <c r="DC21" s="146" t="str">
        <f ca="1">RESULTADOS!CG38</f>
        <v/>
      </c>
      <c r="DD21" s="146" t="str">
        <f ca="1">RESULTADOS!CH38</f>
        <v/>
      </c>
      <c r="DE21" s="146" t="str">
        <f ca="1">RESULTADOS!CI38</f>
        <v/>
      </c>
      <c r="DF21" s="146" t="str">
        <f ca="1">RESULTADOS!CJ38</f>
        <v/>
      </c>
      <c r="DG21" s="146" t="str">
        <f ca="1">RESULTADOS!CK38</f>
        <v/>
      </c>
      <c r="DH21" s="146" t="str">
        <f ca="1">RESULTADOS!CL38</f>
        <v/>
      </c>
      <c r="DI21" s="146" t="str">
        <f ca="1">RESULTADOS!CM38</f>
        <v/>
      </c>
      <c r="DJ21" s="146" t="str">
        <f ca="1">RESULTADOS!CN38</f>
        <v/>
      </c>
      <c r="DK21" s="146" t="str">
        <f ca="1">RESULTADOS!CO38</f>
        <v/>
      </c>
      <c r="DL21" s="146" t="str">
        <f ca="1">RESULTADOS!CP38</f>
        <v/>
      </c>
      <c r="DM21" s="146" t="str">
        <f ca="1">RESULTADOS!CQ38</f>
        <v/>
      </c>
      <c r="DN21" s="146" t="str">
        <f ca="1">RESULTADOS!CR38</f>
        <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No</v>
      </c>
      <c r="T22" s="148" t="str">
        <f>RESULTADOS!B39</f>
        <v/>
      </c>
      <c r="U22" s="148" t="str">
        <f>RESULTADOS!C39</f>
        <v/>
      </c>
      <c r="V22" s="148" t="str">
        <f t="shared" si="0"/>
        <v/>
      </c>
      <c r="W22" s="148" t="str">
        <v/>
      </c>
      <c r="X22" s="148" t="str">
        <f>RESULTADOS!D39</f>
        <v/>
      </c>
      <c r="Y22" s="148" t="str">
        <v/>
      </c>
      <c r="Z22" s="237" t="str">
        <v/>
      </c>
      <c r="AA22" s="146" t="str">
        <f ca="1">RESULTADOS!E39</f>
        <v/>
      </c>
      <c r="AB22" s="146" t="str">
        <f ca="1">RESULTADOS!F39</f>
        <v/>
      </c>
      <c r="AC22" s="146" t="str">
        <f ca="1">RESULTADOS!G39</f>
        <v/>
      </c>
      <c r="AD22" s="146" t="str">
        <f ca="1">RESULTADOS!H39</f>
        <v/>
      </c>
      <c r="AE22" s="146" t="str">
        <f ca="1">RESULTADOS!I39</f>
        <v/>
      </c>
      <c r="AF22" s="146" t="str">
        <f ca="1">RESULTADOS!J39</f>
        <v/>
      </c>
      <c r="AG22" s="146" t="str">
        <f ca="1">RESULTADOS!K39</f>
        <v/>
      </c>
      <c r="AH22" s="146" t="str">
        <f ca="1">RESULTADOS!L39</f>
        <v/>
      </c>
      <c r="AI22" s="146" t="str">
        <f ca="1">RESULTADOS!M39</f>
        <v/>
      </c>
      <c r="AJ22" s="146" t="str">
        <f ca="1">RESULTADOS!N39</f>
        <v/>
      </c>
      <c r="AK22" s="146" t="str">
        <f ca="1">RESULTADOS!O39</f>
        <v/>
      </c>
      <c r="AL22" s="146" t="str">
        <f ca="1">RESULTADOS!P39</f>
        <v/>
      </c>
      <c r="AM22" s="146" t="str">
        <f ca="1">RESULTADOS!Q39</f>
        <v/>
      </c>
      <c r="AN22" s="146" t="str">
        <f ca="1">RESULTADOS!R39</f>
        <v/>
      </c>
      <c r="AO22" s="146" t="str">
        <f ca="1">RESULTADOS!S39</f>
        <v/>
      </c>
      <c r="AP22" s="146" t="str">
        <f ca="1">RESULTADOS!T39</f>
        <v/>
      </c>
      <c r="AQ22" s="146" t="str">
        <f ca="1">RESULTADOS!U39</f>
        <v/>
      </c>
      <c r="AR22" s="146" t="str">
        <f ca="1">RESULTADOS!V39</f>
        <v/>
      </c>
      <c r="AS22" s="146" t="str">
        <f ca="1">RESULTADOS!W39</f>
        <v/>
      </c>
      <c r="AT22" s="146" t="str">
        <f ca="1">RESULTADOS!X39</f>
        <v/>
      </c>
      <c r="AU22" s="146" t="str">
        <f ca="1">RESULTADOS!Y39</f>
        <v/>
      </c>
      <c r="AV22" s="146" t="str">
        <f ca="1">RESULTADOS!Z39</f>
        <v/>
      </c>
      <c r="AW22" s="146" t="str">
        <f ca="1">RESULTADOS!AA39</f>
        <v/>
      </c>
      <c r="AX22" s="146" t="str">
        <f ca="1">RESULTADOS!AB39</f>
        <v/>
      </c>
      <c r="AY22" s="146" t="str">
        <f ca="1">RESULTADOS!AC39</f>
        <v/>
      </c>
      <c r="AZ22" s="146" t="str">
        <f ca="1">RESULTADOS!AD39</f>
        <v/>
      </c>
      <c r="BA22" s="146" t="str">
        <f ca="1">RESULTADOS!AE39</f>
        <v/>
      </c>
      <c r="BB22" s="146" t="str">
        <f ca="1">RESULTADOS!AF39</f>
        <v/>
      </c>
      <c r="BC22" s="146" t="str">
        <f ca="1">RESULTADOS!AG39</f>
        <v/>
      </c>
      <c r="BD22" s="146" t="str">
        <f ca="1">RESULTADOS!AH39</f>
        <v/>
      </c>
      <c r="BE22" s="146" t="str">
        <f ca="1">RESULTADOS!AI39</f>
        <v/>
      </c>
      <c r="BF22" s="146" t="str">
        <f ca="1">RESULTADOS!AJ39</f>
        <v/>
      </c>
      <c r="BG22" s="146" t="str">
        <f ca="1">RESULTADOS!AK39</f>
        <v/>
      </c>
      <c r="BH22" s="146" t="str">
        <f ca="1">RESULTADOS!AL39</f>
        <v/>
      </c>
      <c r="BI22" s="146" t="str">
        <f ca="1">RESULTADOS!AM39</f>
        <v/>
      </c>
      <c r="BJ22" s="146" t="str">
        <f ca="1">RESULTADOS!AN39</f>
        <v/>
      </c>
      <c r="BK22" s="146" t="str">
        <f ca="1">RESULTADOS!AO39</f>
        <v/>
      </c>
      <c r="BL22" s="146" t="str">
        <f ca="1">RESULTADOS!AP39</f>
        <v/>
      </c>
      <c r="BM22" s="146" t="str">
        <f ca="1">RESULTADOS!AQ39</f>
        <v/>
      </c>
      <c r="BN22" s="146" t="str">
        <f ca="1">RESULTADOS!AR39</f>
        <v/>
      </c>
      <c r="BO22" s="146" t="str">
        <f ca="1">RESULTADOS!AS39</f>
        <v/>
      </c>
      <c r="BP22" s="146" t="str">
        <f ca="1">RESULTADOS!AT39</f>
        <v/>
      </c>
      <c r="BQ22" s="146" t="str">
        <f ca="1">RESULTADOS!AU39</f>
        <v/>
      </c>
      <c r="BR22" s="146" t="str">
        <f ca="1">RESULTADOS!AV39</f>
        <v/>
      </c>
      <c r="BS22" s="146" t="str">
        <f ca="1">RESULTADOS!AW39</f>
        <v/>
      </c>
      <c r="BT22" s="146" t="str">
        <f ca="1">RESULTADOS!AX39</f>
        <v/>
      </c>
      <c r="BU22" s="146" t="str">
        <f ca="1">RESULTADOS!AY39</f>
        <v/>
      </c>
      <c r="BV22" s="146" t="str">
        <f ca="1">RESULTADOS!AZ39</f>
        <v/>
      </c>
      <c r="BW22" s="146" t="str">
        <f ca="1">RESULTADOS!BA39</f>
        <v/>
      </c>
      <c r="BX22" s="146" t="str">
        <f ca="1">RESULTADOS!BB39</f>
        <v/>
      </c>
      <c r="BY22" s="146" t="str">
        <f ca="1">RESULTADOS!BC39</f>
        <v/>
      </c>
      <c r="BZ22" s="146" t="str">
        <f ca="1">RESULTADOS!BD39</f>
        <v/>
      </c>
      <c r="CA22" s="146" t="str">
        <f ca="1">RESULTADOS!BE39</f>
        <v/>
      </c>
      <c r="CB22" s="146" t="str">
        <f ca="1">RESULTADOS!BF39</f>
        <v/>
      </c>
      <c r="CC22" s="146" t="str">
        <f ca="1">RESULTADOS!BG39</f>
        <v/>
      </c>
      <c r="CD22" s="146" t="str">
        <f ca="1">RESULTADOS!BH39</f>
        <v/>
      </c>
      <c r="CE22" s="146" t="str">
        <f ca="1">RESULTADOS!BI39</f>
        <v/>
      </c>
      <c r="CF22" s="146" t="str">
        <f ca="1">RESULTADOS!BJ39</f>
        <v/>
      </c>
      <c r="CG22" s="146" t="str">
        <f ca="1">RESULTADOS!BK39</f>
        <v/>
      </c>
      <c r="CH22" s="146" t="str">
        <f ca="1">RESULTADOS!BL39</f>
        <v/>
      </c>
      <c r="CI22" s="146" t="str">
        <f ca="1">RESULTADOS!BM39</f>
        <v/>
      </c>
      <c r="CJ22" s="146" t="str">
        <f ca="1">RESULTADOS!BN39</f>
        <v/>
      </c>
      <c r="CK22" s="146" t="str">
        <f ca="1">RESULTADOS!BO39</f>
        <v/>
      </c>
      <c r="CL22" s="146" t="str">
        <f ca="1">RESULTADOS!BP39</f>
        <v/>
      </c>
      <c r="CM22" s="146" t="str">
        <f ca="1">RESULTADOS!BQ39</f>
        <v/>
      </c>
      <c r="CN22" s="146" t="str">
        <f ca="1">RESULTADOS!BR39</f>
        <v/>
      </c>
      <c r="CO22" s="146" t="str">
        <f ca="1">RESULTADOS!BS39</f>
        <v/>
      </c>
      <c r="CP22" s="146" t="str">
        <f ca="1">RESULTADOS!BT39</f>
        <v/>
      </c>
      <c r="CQ22" s="146" t="str">
        <f ca="1">RESULTADOS!BU39</f>
        <v/>
      </c>
      <c r="CR22" s="146" t="str">
        <f ca="1">RESULTADOS!BV39</f>
        <v/>
      </c>
      <c r="CS22" s="146" t="str">
        <f ca="1">RESULTADOS!BW39</f>
        <v/>
      </c>
      <c r="CT22" s="146" t="str">
        <f ca="1">RESULTADOS!BX39</f>
        <v/>
      </c>
      <c r="CU22" s="146" t="str">
        <f ca="1">RESULTADOS!BY39</f>
        <v/>
      </c>
      <c r="CV22" s="146" t="str">
        <f ca="1">RESULTADOS!BZ39</f>
        <v/>
      </c>
      <c r="CW22" s="146" t="str">
        <f ca="1">RESULTADOS!CA39</f>
        <v/>
      </c>
      <c r="CX22" s="146" t="str">
        <f ca="1">RESULTADOS!CB39</f>
        <v/>
      </c>
      <c r="CY22" s="146" t="str">
        <f ca="1">RESULTADOS!CC39</f>
        <v/>
      </c>
      <c r="CZ22" s="146" t="str">
        <f ca="1">RESULTADOS!CD39</f>
        <v/>
      </c>
      <c r="DA22" s="146" t="str">
        <f ca="1">RESULTADOS!CE39</f>
        <v/>
      </c>
      <c r="DB22" s="146" t="str">
        <f ca="1">RESULTADOS!CF39</f>
        <v/>
      </c>
      <c r="DC22" s="146" t="str">
        <f ca="1">RESULTADOS!CG39</f>
        <v/>
      </c>
      <c r="DD22" s="146" t="str">
        <f ca="1">RESULTADOS!CH39</f>
        <v/>
      </c>
      <c r="DE22" s="146" t="str">
        <f ca="1">RESULTADOS!CI39</f>
        <v/>
      </c>
      <c r="DF22" s="146" t="str">
        <f ca="1">RESULTADOS!CJ39</f>
        <v/>
      </c>
      <c r="DG22" s="146" t="str">
        <f ca="1">RESULTADOS!CK39</f>
        <v/>
      </c>
      <c r="DH22" s="146" t="str">
        <f ca="1">RESULTADOS!CL39</f>
        <v/>
      </c>
      <c r="DI22" s="146" t="str">
        <f ca="1">RESULTADOS!CM39</f>
        <v/>
      </c>
      <c r="DJ22" s="146" t="str">
        <f ca="1">RESULTADOS!CN39</f>
        <v/>
      </c>
      <c r="DK22" s="146" t="str">
        <f ca="1">RESULTADOS!CO39</f>
        <v/>
      </c>
      <c r="DL22" s="146" t="str">
        <f ca="1">RESULTADOS!CP39</f>
        <v/>
      </c>
      <c r="DM22" s="146" t="str">
        <f ca="1">RESULTADOS!CQ39</f>
        <v/>
      </c>
      <c r="DN22" s="146" t="str">
        <f ca="1">RESULTADOS!CR39</f>
        <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Sí</v>
      </c>
      <c r="K23" s="40" t="s">
        <v>141</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276</v>
      </c>
      <c r="D24" s="147" t="str">
        <f>'01.Definición de ámbito'!D54</f>
        <v>No</v>
      </c>
      <c r="K24" s="40" t="s">
        <v>27</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277</v>
      </c>
      <c r="D25" s="147" t="str">
        <f>'01.Definición de ámbito'!D55</f>
        <v>No</v>
      </c>
      <c r="K25" s="40" t="s">
        <v>29</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No</v>
      </c>
      <c r="K26" s="40" t="s">
        <v>48</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145</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146</v>
      </c>
      <c r="D29" s="147" t="str">
        <f>'01.Definición de ámbito'!C58</f>
        <v>Autoevaluación con recursos externos</v>
      </c>
      <c r="K29" s="40" t="s">
        <v>350</v>
      </c>
      <c r="L29" s="150">
        <f ca="1">RESULTADOS!F14</f>
        <v>6.5</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Atos</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L1036"/>
  <sheetViews>
    <sheetView tabSelected="1" topLeftCell="A25" zoomScale="85" zoomScaleNormal="85" workbookViewId="0">
      <selection activeCell="B32" sqref="B32"/>
    </sheetView>
  </sheetViews>
  <sheetFormatPr baseColWidth="10" defaultColWidth="11.5703125" defaultRowHeight="12.75"/>
  <cols>
    <col min="1" max="1" width="11.5703125" style="14"/>
    <col min="2" max="2" width="79.85546875" style="14" customWidth="1"/>
    <col min="3" max="3" width="126.42578125" style="14" customWidth="1"/>
    <col min="4" max="4" width="8.140625" style="14" customWidth="1"/>
    <col min="5" max="5" width="16" style="14" customWidth="1"/>
    <col min="6" max="11" width="9.140625" style="14" customWidth="1"/>
    <col min="12" max="12" width="23.140625" style="14" customWidth="1"/>
    <col min="13" max="13" width="4" style="14" customWidth="1"/>
    <col min="14" max="19" width="9.140625" style="14" customWidth="1"/>
    <col min="20" max="20" width="20" style="14" customWidth="1"/>
    <col min="21" max="23" width="9.140625" style="14" customWidth="1"/>
    <col min="24" max="26" width="8.7109375" style="14" customWidth="1"/>
    <col min="27"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65" customHeight="1">
      <c r="A3" s="27"/>
      <c r="B3" s="65" t="s">
        <v>278</v>
      </c>
      <c r="C3" s="19"/>
      <c r="D3" s="250" t="s">
        <v>14</v>
      </c>
      <c r="E3" s="251"/>
      <c r="F3" s="19"/>
      <c r="G3" s="19"/>
      <c r="H3" s="19"/>
      <c r="I3" s="19"/>
      <c r="J3" s="19"/>
      <c r="K3" s="19"/>
      <c r="L3" s="19"/>
      <c r="M3" s="19"/>
      <c r="N3" s="19"/>
      <c r="O3" s="19"/>
      <c r="P3" s="19"/>
      <c r="Q3" s="19"/>
      <c r="R3" s="19"/>
      <c r="S3" s="19"/>
      <c r="T3" s="19"/>
      <c r="U3" s="19"/>
      <c r="V3" s="19"/>
      <c r="W3" s="19"/>
      <c r="X3" s="19"/>
      <c r="Y3" s="19"/>
      <c r="Z3" s="19"/>
    </row>
    <row r="4" spans="1:64" ht="16.7"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7" customHeight="1">
      <c r="C6" s="79"/>
      <c r="D6" s="19"/>
      <c r="E6" s="19"/>
      <c r="F6" s="19"/>
      <c r="G6" s="19"/>
      <c r="H6" s="19"/>
      <c r="I6" s="19"/>
      <c r="J6" s="19"/>
      <c r="K6" s="19"/>
      <c r="L6" s="19"/>
      <c r="M6" s="19"/>
      <c r="N6" s="19"/>
      <c r="O6" s="19"/>
      <c r="P6" s="19"/>
      <c r="Q6" s="19"/>
      <c r="R6" s="19"/>
      <c r="S6" s="19"/>
      <c r="T6" s="19"/>
      <c r="U6" s="19"/>
      <c r="V6" s="19"/>
      <c r="W6" s="19"/>
      <c r="X6" s="19"/>
      <c r="Y6" s="19"/>
      <c r="Z6" s="19"/>
    </row>
    <row r="7" spans="1:64" ht="22.15" customHeight="1">
      <c r="B7" s="13" t="s">
        <v>127</v>
      </c>
      <c r="C7" s="80"/>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15" customHeight="1">
      <c r="B9" s="13" t="s">
        <v>132</v>
      </c>
      <c r="C9" s="80"/>
      <c r="D9" s="19"/>
      <c r="E9" s="19"/>
      <c r="F9" s="19"/>
      <c r="G9" s="19"/>
      <c r="H9" s="19"/>
      <c r="I9" s="19"/>
      <c r="J9" s="19"/>
      <c r="K9" s="19"/>
      <c r="L9" s="19"/>
      <c r="M9" s="19"/>
      <c r="N9" s="19"/>
      <c r="O9" s="19"/>
      <c r="P9" s="19"/>
      <c r="Q9" s="19"/>
      <c r="R9" s="19"/>
      <c r="S9" s="19"/>
      <c r="T9" s="19"/>
      <c r="U9" s="19"/>
      <c r="V9" s="19"/>
      <c r="W9" s="19"/>
      <c r="X9" s="19"/>
      <c r="Y9" s="19"/>
      <c r="Z9" s="19"/>
    </row>
    <row r="10" spans="1:64" ht="10.7"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15" customHeight="1">
      <c r="B11" s="13" t="s">
        <v>135</v>
      </c>
      <c r="C11" s="80"/>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5"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15" customHeight="1">
      <c r="B13" s="13" t="s">
        <v>136</v>
      </c>
      <c r="C13" s="80"/>
      <c r="D13" s="19"/>
      <c r="E13" s="19"/>
      <c r="F13" s="19"/>
      <c r="G13" s="19"/>
      <c r="H13" s="19"/>
      <c r="I13" s="19"/>
      <c r="J13" s="19"/>
      <c r="K13" s="19"/>
      <c r="L13" s="19"/>
      <c r="M13" s="19"/>
      <c r="N13" s="19"/>
      <c r="O13" s="19"/>
      <c r="P13" s="19"/>
      <c r="Q13" s="19"/>
      <c r="R13" s="19"/>
      <c r="S13" s="19"/>
      <c r="T13" s="19"/>
      <c r="U13" s="19"/>
      <c r="V13" s="19"/>
      <c r="W13" s="19"/>
      <c r="X13" s="19"/>
      <c r="Y13" s="19"/>
      <c r="Z13" s="19"/>
    </row>
    <row r="14" spans="1:64" ht="10.7"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15" customHeight="1">
      <c r="B17" s="16" t="s">
        <v>281</v>
      </c>
      <c r="C17" s="80"/>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15" customHeight="1">
      <c r="B19" s="13" t="s">
        <v>137</v>
      </c>
      <c r="C19" s="80"/>
      <c r="D19" s="19"/>
      <c r="E19" s="19"/>
      <c r="F19" s="19"/>
      <c r="G19" s="19"/>
      <c r="H19" s="19"/>
      <c r="I19" s="19"/>
      <c r="J19" s="19"/>
      <c r="K19" s="19"/>
      <c r="L19" s="19"/>
      <c r="M19" s="19"/>
      <c r="N19" s="19"/>
      <c r="O19" s="19"/>
      <c r="P19" s="19"/>
      <c r="Q19" s="19"/>
      <c r="R19" s="19"/>
      <c r="S19" s="19"/>
      <c r="T19" s="19"/>
      <c r="U19" s="19"/>
      <c r="V19" s="19"/>
      <c r="W19" s="19"/>
      <c r="X19" s="19"/>
      <c r="Y19" s="19"/>
      <c r="Z19" s="19"/>
    </row>
    <row r="20" spans="1:26" ht="10.7"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15" customHeight="1">
      <c r="B21" s="16" t="s">
        <v>282</v>
      </c>
      <c r="C21" s="80"/>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7"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15" customHeight="1">
      <c r="B25" s="16" t="s">
        <v>283</v>
      </c>
      <c r="C25" s="80" t="s">
        <v>288</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7"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15" customHeight="1">
      <c r="B27" s="16" t="s">
        <v>284</v>
      </c>
      <c r="C27" s="80" t="s">
        <v>482</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1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15" customHeight="1">
      <c r="B29" s="16" t="s">
        <v>285</v>
      </c>
      <c r="C29" s="80" t="s">
        <v>483</v>
      </c>
      <c r="D29" s="128"/>
      <c r="E29" s="128"/>
      <c r="F29" s="128"/>
      <c r="G29" s="128"/>
      <c r="H29" s="128"/>
      <c r="I29" s="128"/>
      <c r="J29" s="128"/>
      <c r="K29" s="128"/>
      <c r="L29" s="128"/>
      <c r="M29" s="128"/>
      <c r="N29" s="19"/>
      <c r="O29" s="19"/>
      <c r="P29" s="19"/>
      <c r="Q29" s="19"/>
      <c r="R29" s="19"/>
      <c r="S29" s="19"/>
      <c r="V29" s="19"/>
      <c r="W29" s="19"/>
      <c r="X29" s="19"/>
      <c r="Y29" s="19"/>
      <c r="Z29" s="19"/>
    </row>
    <row r="30" spans="1:26" ht="13.1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15" customHeight="1">
      <c r="B31" s="13" t="s">
        <v>139</v>
      </c>
      <c r="C31" s="80" t="s">
        <v>484</v>
      </c>
      <c r="D31" s="128"/>
      <c r="E31" s="128"/>
      <c r="F31" s="128"/>
      <c r="G31" s="128"/>
      <c r="H31" s="128"/>
      <c r="I31" s="128"/>
      <c r="J31" s="128"/>
      <c r="K31" s="128"/>
      <c r="L31" s="128"/>
      <c r="M31" s="128"/>
      <c r="N31" s="19"/>
      <c r="O31" s="19"/>
      <c r="P31" s="19"/>
      <c r="Q31" s="19"/>
      <c r="R31" s="19"/>
      <c r="S31" s="19"/>
      <c r="V31" s="19"/>
      <c r="W31" s="19"/>
      <c r="X31" s="19"/>
      <c r="Y31" s="19"/>
      <c r="Z31" s="19"/>
    </row>
    <row r="32" spans="1:26" ht="10.7"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286</v>
      </c>
      <c r="C33" s="80" t="s">
        <v>485</v>
      </c>
    </row>
    <row r="34" spans="2:26" ht="10.7"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140</v>
      </c>
      <c r="C35" s="245">
        <v>44949</v>
      </c>
      <c r="D35" s="128"/>
      <c r="E35" s="128"/>
      <c r="F35" s="128"/>
      <c r="G35" s="128"/>
      <c r="H35" s="128"/>
      <c r="I35" s="128"/>
      <c r="J35" s="128"/>
      <c r="K35" s="128"/>
      <c r="L35" s="128"/>
      <c r="M35" s="128"/>
    </row>
    <row r="36" spans="2:26" ht="11.45" customHeight="1">
      <c r="B36" s="16"/>
      <c r="C36" s="16"/>
    </row>
    <row r="37" spans="2:26" ht="14.1" customHeight="1">
      <c r="B37" s="127"/>
      <c r="C37" s="127"/>
      <c r="D37" s="19"/>
      <c r="E37" s="19"/>
      <c r="F37" s="19"/>
      <c r="G37" s="19"/>
      <c r="H37" s="19"/>
      <c r="I37" s="19"/>
      <c r="J37" s="19"/>
      <c r="K37" s="19"/>
      <c r="L37" s="19"/>
      <c r="M37" s="19"/>
      <c r="N37" s="19"/>
    </row>
    <row r="38" spans="2:26" ht="10.7"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15" customHeight="1">
      <c r="B39" s="13" t="s">
        <v>142</v>
      </c>
      <c r="C39" s="188" t="s">
        <v>475</v>
      </c>
      <c r="D39" s="42"/>
      <c r="E39" s="19"/>
      <c r="F39" s="19"/>
      <c r="G39" s="19"/>
      <c r="H39" s="19"/>
      <c r="I39" s="19"/>
      <c r="J39" s="19"/>
      <c r="K39" s="19"/>
      <c r="L39" s="19"/>
      <c r="M39" s="19"/>
      <c r="N39" s="19"/>
      <c r="O39" s="19"/>
      <c r="Q39" s="19"/>
      <c r="R39" s="19"/>
      <c r="S39" s="19"/>
      <c r="U39" s="19"/>
      <c r="V39" s="19"/>
      <c r="W39" s="19"/>
      <c r="X39" s="19"/>
      <c r="Y39" s="19"/>
      <c r="Z39" s="19"/>
    </row>
    <row r="40" spans="2:26" ht="10.7"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143</v>
      </c>
      <c r="C41" s="84" t="s">
        <v>481</v>
      </c>
      <c r="D41" s="19"/>
      <c r="E41" s="19"/>
      <c r="F41" s="19"/>
      <c r="G41" s="19"/>
      <c r="H41" s="19"/>
      <c r="I41" s="19"/>
      <c r="J41" s="19"/>
      <c r="K41" s="19"/>
      <c r="L41" s="19"/>
      <c r="M41" s="19"/>
      <c r="N41" s="19"/>
      <c r="O41" s="19"/>
      <c r="Q41" s="19"/>
      <c r="R41" s="19"/>
      <c r="S41" s="19"/>
      <c r="U41" s="19"/>
      <c r="V41" s="19"/>
      <c r="W41" s="19"/>
      <c r="X41" s="19"/>
      <c r="Y41" s="19"/>
      <c r="Z41" s="19"/>
    </row>
    <row r="42" spans="2:26" ht="10.7"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7"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15" customHeight="1">
      <c r="B45" s="13" t="s">
        <v>144</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147</v>
      </c>
      <c r="C47" s="152" t="s">
        <v>149</v>
      </c>
      <c r="D47" s="151" t="s">
        <v>148</v>
      </c>
      <c r="M47" s="19"/>
      <c r="N47" s="19"/>
      <c r="O47" s="19"/>
      <c r="Q47" s="19"/>
      <c r="R47" s="19"/>
      <c r="S47" s="19"/>
      <c r="U47" s="19"/>
      <c r="V47" s="19"/>
      <c r="W47" s="19"/>
      <c r="X47" s="19"/>
      <c r="Y47" s="19"/>
      <c r="Z47" s="19"/>
    </row>
    <row r="48" spans="2:26" ht="14.85" customHeight="1">
      <c r="C48" s="82" t="s">
        <v>5</v>
      </c>
      <c r="D48" s="20" t="s">
        <v>6</v>
      </c>
      <c r="G48" s="81"/>
    </row>
    <row r="49" spans="2:26" ht="14.85" customHeight="1">
      <c r="C49" s="82" t="s">
        <v>274</v>
      </c>
      <c r="D49" s="20" t="s">
        <v>6</v>
      </c>
      <c r="G49" s="81"/>
    </row>
    <row r="50" spans="2:26" ht="14.85" customHeight="1">
      <c r="C50" s="82" t="s">
        <v>275</v>
      </c>
      <c r="D50" s="20" t="s">
        <v>6</v>
      </c>
      <c r="G50" s="81"/>
    </row>
    <row r="51" spans="2:26" ht="14.85" customHeight="1">
      <c r="C51" s="82" t="s">
        <v>7</v>
      </c>
      <c r="D51" s="20" t="s">
        <v>6</v>
      </c>
      <c r="G51" s="81"/>
    </row>
    <row r="52" spans="2:26" ht="14.85" customHeight="1">
      <c r="C52" s="82" t="s">
        <v>8</v>
      </c>
      <c r="D52" s="20" t="s">
        <v>6</v>
      </c>
      <c r="G52" s="81"/>
    </row>
    <row r="53" spans="2:26" ht="14.85" customHeight="1">
      <c r="C53" s="82" t="s">
        <v>9</v>
      </c>
      <c r="D53" s="20" t="s">
        <v>60</v>
      </c>
      <c r="G53" s="81"/>
    </row>
    <row r="54" spans="2:26" ht="14.85" customHeight="1">
      <c r="C54" s="82" t="s">
        <v>276</v>
      </c>
      <c r="D54" s="20" t="s">
        <v>6</v>
      </c>
      <c r="G54" s="81"/>
    </row>
    <row r="55" spans="2:26" ht="14.85" customHeight="1">
      <c r="C55" s="82" t="s">
        <v>277</v>
      </c>
      <c r="D55" s="20" t="s">
        <v>6</v>
      </c>
      <c r="G55" s="81"/>
    </row>
    <row r="56" spans="2:26" ht="14.85" customHeight="1">
      <c r="C56" s="82" t="s">
        <v>10</v>
      </c>
      <c r="D56" s="20" t="s">
        <v>6</v>
      </c>
      <c r="G56" s="81"/>
    </row>
    <row r="57" spans="2:26" ht="13.1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15" customHeight="1">
      <c r="B58" s="13" t="s">
        <v>146</v>
      </c>
      <c r="C58" s="80" t="s">
        <v>64</v>
      </c>
      <c r="D58" s="42"/>
      <c r="E58" s="19"/>
      <c r="F58" s="19"/>
      <c r="G58" s="19"/>
      <c r="H58" s="19"/>
      <c r="I58" s="19"/>
      <c r="J58" s="19"/>
      <c r="K58" s="19"/>
      <c r="L58" s="19"/>
      <c r="M58" s="19"/>
      <c r="N58" s="19"/>
      <c r="O58" s="19"/>
      <c r="P58" s="19"/>
      <c r="Q58" s="19"/>
      <c r="R58" s="19"/>
      <c r="S58" s="19"/>
      <c r="U58" s="19"/>
      <c r="V58" s="19"/>
      <c r="W58" s="19"/>
      <c r="X58" s="19"/>
      <c r="Y58" s="19"/>
      <c r="Z58" s="19"/>
    </row>
    <row r="59" spans="2:26" ht="10.7"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15" customHeight="1">
      <c r="B60" s="13" t="s">
        <v>12</v>
      </c>
      <c r="C60" s="80" t="s">
        <v>480</v>
      </c>
      <c r="D60" s="42"/>
      <c r="E60" s="19"/>
      <c r="F60" s="19"/>
      <c r="G60" s="19"/>
      <c r="H60" s="19"/>
      <c r="I60" s="19"/>
      <c r="J60" s="19"/>
      <c r="K60" s="19"/>
      <c r="L60" s="19"/>
      <c r="M60" s="19"/>
      <c r="N60" s="19"/>
      <c r="O60" s="19"/>
      <c r="P60" s="19"/>
      <c r="Q60" s="19"/>
      <c r="R60" s="19"/>
      <c r="S60" s="19"/>
      <c r="U60" s="19"/>
      <c r="V60" s="19"/>
      <c r="W60" s="19"/>
      <c r="X60" s="19"/>
      <c r="Y60" s="19"/>
      <c r="Z60" s="19"/>
    </row>
    <row r="61" spans="2:26" ht="10.7"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1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14:formula1>
            <xm:f>'DATA - Oculta'!$C$8:$C$12</xm:f>
          </x14:formula1>
          <x14:formula2>
            <xm:f>0</xm:f>
          </x14:formula2>
          <xm:sqref>C45</xm:sqref>
        </x14:dataValidation>
        <x14:dataValidation type="list" operator="equal" allowBlank="1" showErrorMessage="1" errorTitle="Error" error="Seleccione una de las opciones del desplegable.">
          <x14:formula1>
            <xm:f>'DATA - Oculta'!$K$8:$K$10</xm:f>
          </x14:formula1>
          <x14:formula2>
            <xm:f>0</xm:f>
          </x14:formula2>
          <xm:sqref>D48:D56</xm:sqref>
        </x14:dataValidation>
        <x14:dataValidation type="list" operator="equal" allowBlank="1" showErrorMessage="1" errorTitle="Error" error="Seleccione una de las opciones del desplegable.">
          <x14:formula1>
            <xm:f>'DATA - Oculta'!$G$9:$G$11</xm:f>
          </x14:formula1>
          <x14:formula2>
            <xm:f>0</xm:f>
          </x14:formula2>
          <xm:sqref>C58</xm:sqref>
        </x14:dataValidation>
        <x14:dataValidation type="list" allowBlank="1" showInputMessage="1" showErrorMessage="1">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H23"/>
  <sheetViews>
    <sheetView zoomScale="85" zoomScaleNormal="85" workbookViewId="0">
      <selection activeCell="C13" sqref="C13"/>
    </sheetView>
  </sheetViews>
  <sheetFormatPr baseColWidth="10" defaultColWidth="11.5703125" defaultRowHeight="12.75"/>
  <cols>
    <col min="1" max="1" width="11.5703125" style="192"/>
    <col min="2" max="2" width="14" style="192" customWidth="1"/>
    <col min="3" max="3" width="8.7109375" style="192" customWidth="1"/>
    <col min="4" max="4" width="9.42578125" style="192" customWidth="1"/>
    <col min="5" max="5" width="14.42578125" style="192" customWidth="1"/>
    <col min="6" max="6" width="8.5703125" style="192" customWidth="1"/>
    <col min="7" max="7" width="11.5703125" style="192"/>
    <col min="8" max="8" width="12" style="192" customWidth="1"/>
    <col min="9" max="9" width="8.7109375" style="192" customWidth="1"/>
    <col min="10" max="10" width="11.5703125" style="192"/>
    <col min="11" max="11" width="19.5703125" style="192" customWidth="1"/>
    <col min="12" max="12" width="40.7109375" style="192" customWidth="1"/>
    <col min="13" max="16384" width="11.570312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65" customHeight="1">
      <c r="A3" s="189"/>
      <c r="B3" s="194" t="s">
        <v>278</v>
      </c>
      <c r="C3" s="191"/>
      <c r="D3" s="191"/>
      <c r="E3" s="191"/>
      <c r="F3" s="191"/>
      <c r="G3" s="191"/>
      <c r="H3" s="191"/>
      <c r="I3" s="191"/>
      <c r="J3" s="191"/>
      <c r="K3" s="191"/>
      <c r="L3" s="191"/>
      <c r="M3" s="191"/>
      <c r="N3" s="191"/>
      <c r="O3" s="191"/>
      <c r="P3" s="191"/>
      <c r="Q3" s="191"/>
      <c r="R3" s="191"/>
      <c r="S3" s="191"/>
      <c r="T3" s="191"/>
      <c r="U3" s="191"/>
      <c r="V3" s="191"/>
    </row>
    <row r="4" spans="1:60" ht="16.7"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290</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5" customHeight="1" thickBot="1">
      <c r="B6" s="252" t="s">
        <v>291</v>
      </c>
      <c r="C6" s="252"/>
      <c r="D6" s="252"/>
      <c r="E6" s="252"/>
      <c r="F6" s="252"/>
      <c r="G6" s="252"/>
      <c r="H6" s="252"/>
      <c r="I6" s="252"/>
      <c r="J6" s="252"/>
      <c r="K6" s="252"/>
      <c r="L6" s="252"/>
    </row>
    <row r="7" spans="1:60" ht="33.200000000000003" customHeight="1" thickTop="1">
      <c r="B7" s="253" t="s">
        <v>292</v>
      </c>
      <c r="C7" s="253"/>
      <c r="D7" s="253"/>
      <c r="E7" s="253"/>
      <c r="F7" s="253"/>
      <c r="G7" s="253"/>
      <c r="H7" s="253"/>
      <c r="I7" s="253"/>
      <c r="J7" s="253"/>
      <c r="K7" s="253"/>
      <c r="L7" s="253"/>
    </row>
    <row r="8" spans="1:60" ht="21.6" customHeight="1"/>
    <row r="9" spans="1:60" ht="17.100000000000001" customHeight="1">
      <c r="B9" s="200" t="s">
        <v>293</v>
      </c>
      <c r="C9" s="201" t="s">
        <v>60</v>
      </c>
      <c r="E9" s="200" t="s">
        <v>294</v>
      </c>
      <c r="F9" s="201" t="s">
        <v>6</v>
      </c>
      <c r="H9" s="200" t="s">
        <v>295</v>
      </c>
      <c r="I9" s="201" t="s">
        <v>6</v>
      </c>
    </row>
    <row r="10" spans="1:60" ht="17.100000000000001" customHeight="1">
      <c r="B10" s="200" t="s">
        <v>296</v>
      </c>
      <c r="C10" s="201" t="s">
        <v>6</v>
      </c>
      <c r="E10" s="200" t="s">
        <v>297</v>
      </c>
      <c r="F10" s="201" t="s">
        <v>6</v>
      </c>
      <c r="H10" s="200" t="s">
        <v>298</v>
      </c>
      <c r="I10" s="201" t="s">
        <v>6</v>
      </c>
    </row>
    <row r="11" spans="1:60" ht="17.100000000000001" customHeight="1">
      <c r="B11" s="200" t="s">
        <v>299</v>
      </c>
      <c r="C11" s="201" t="s">
        <v>6</v>
      </c>
      <c r="E11" s="200" t="s">
        <v>300</v>
      </c>
      <c r="F11" s="201" t="s">
        <v>6</v>
      </c>
      <c r="H11" s="200" t="s">
        <v>301</v>
      </c>
      <c r="I11" s="201" t="s">
        <v>6</v>
      </c>
    </row>
    <row r="12" spans="1:60" ht="17.100000000000001" customHeight="1">
      <c r="B12" s="200" t="s">
        <v>302</v>
      </c>
      <c r="C12" s="201" t="s">
        <v>60</v>
      </c>
      <c r="E12" s="200" t="s">
        <v>303</v>
      </c>
      <c r="F12" s="201" t="s">
        <v>6</v>
      </c>
      <c r="H12" s="200" t="s">
        <v>304</v>
      </c>
      <c r="I12" s="201" t="s">
        <v>6</v>
      </c>
      <c r="K12" s="202" t="s">
        <v>305</v>
      </c>
      <c r="L12" s="202" t="s">
        <v>306</v>
      </c>
    </row>
    <row r="13" spans="1:60" ht="17.100000000000001" customHeight="1">
      <c r="B13" s="200" t="s">
        <v>307</v>
      </c>
      <c r="C13" s="201" t="s">
        <v>60</v>
      </c>
      <c r="E13" s="200" t="s">
        <v>308</v>
      </c>
      <c r="F13" s="201" t="s">
        <v>6</v>
      </c>
      <c r="K13" s="203"/>
      <c r="L13" s="203"/>
    </row>
    <row r="14" spans="1:60" ht="17.100000000000001" customHeight="1">
      <c r="K14" s="203"/>
      <c r="L14" s="203"/>
    </row>
    <row r="15" spans="1:60" ht="17.100000000000001" customHeight="1">
      <c r="K15" s="203"/>
      <c r="L15" s="203"/>
    </row>
    <row r="16" spans="1:60" ht="17.100000000000001" customHeight="1">
      <c r="K16" s="203"/>
      <c r="L16" s="203"/>
    </row>
    <row r="17" spans="3:12">
      <c r="C17" s="254" t="s">
        <v>309</v>
      </c>
      <c r="D17" s="255"/>
      <c r="E17" s="255"/>
      <c r="F17" s="255"/>
      <c r="G17" s="256"/>
      <c r="K17" s="203"/>
      <c r="L17" s="203"/>
    </row>
    <row r="18" spans="3:12">
      <c r="C18" s="257"/>
      <c r="D18" s="258"/>
      <c r="E18" s="258"/>
      <c r="F18" s="258"/>
      <c r="G18" s="259"/>
      <c r="K18" s="203"/>
      <c r="L18" s="203"/>
    </row>
    <row r="19" spans="3:12">
      <c r="C19" s="260"/>
      <c r="D19" s="261"/>
      <c r="E19" s="261"/>
      <c r="F19" s="261"/>
      <c r="G19" s="262"/>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L981"/>
  <sheetViews>
    <sheetView zoomScale="70" zoomScaleNormal="70" workbookViewId="0">
      <selection activeCell="G21" sqref="G21"/>
    </sheetView>
  </sheetViews>
  <sheetFormatPr baseColWidth="10" defaultColWidth="11.5703125" defaultRowHeight="12.75"/>
  <cols>
    <col min="1" max="1" width="11.7109375" style="14" customWidth="1"/>
    <col min="2" max="2" width="9.5703125" style="14" customWidth="1"/>
    <col min="3" max="3" width="27.28515625" style="14" customWidth="1"/>
    <col min="4" max="4" width="19.140625" style="14" customWidth="1"/>
    <col min="5" max="5" width="27.5703125" style="14" bestFit="1" customWidth="1"/>
    <col min="6" max="6" width="72.5703125" style="14" customWidth="1"/>
    <col min="7" max="7" width="64.7109375" style="14" customWidth="1"/>
    <col min="8" max="8" width="134.42578125" style="14" customWidth="1"/>
    <col min="9" max="24" width="8.7109375" style="14" customWidth="1"/>
    <col min="25"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65" customHeight="1" thickTop="1" thickBot="1">
      <c r="A3" s="27"/>
      <c r="B3" s="65" t="s">
        <v>278</v>
      </c>
      <c r="C3" s="19"/>
      <c r="D3" s="19"/>
      <c r="E3" s="19"/>
      <c r="G3" s="43" t="s">
        <v>14</v>
      </c>
      <c r="H3" s="19"/>
      <c r="I3" s="19"/>
      <c r="J3" s="19"/>
      <c r="K3" s="19"/>
      <c r="L3" s="19"/>
      <c r="M3" s="19"/>
      <c r="N3" s="19"/>
      <c r="O3" s="19"/>
      <c r="P3" s="19"/>
      <c r="Q3" s="19"/>
      <c r="R3" s="19"/>
      <c r="S3" s="19"/>
      <c r="T3" s="19"/>
      <c r="U3" s="19"/>
      <c r="V3" s="19"/>
      <c r="W3" s="19"/>
      <c r="X3" s="19"/>
      <c r="Y3" s="19"/>
    </row>
    <row r="4" spans="1:64" ht="16.7"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3" t="s">
        <v>15</v>
      </c>
      <c r="C5" s="263"/>
      <c r="D5" s="263"/>
      <c r="E5" s="263"/>
      <c r="F5" s="263"/>
      <c r="G5" s="263"/>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2" customHeight="1">
      <c r="B7" s="135" t="s">
        <v>16</v>
      </c>
      <c r="C7" s="135" t="s">
        <v>248</v>
      </c>
      <c r="D7" s="135" t="s">
        <v>249</v>
      </c>
      <c r="E7" s="135" t="s">
        <v>17</v>
      </c>
      <c r="F7" s="135" t="s">
        <v>310</v>
      </c>
      <c r="G7" s="135" t="s">
        <v>18</v>
      </c>
      <c r="H7" s="135" t="s">
        <v>19</v>
      </c>
      <c r="I7" s="19"/>
      <c r="J7" s="19"/>
      <c r="K7" s="19"/>
      <c r="L7" s="19"/>
      <c r="M7" s="19"/>
      <c r="N7" s="19"/>
      <c r="O7" s="19"/>
      <c r="P7" s="19"/>
      <c r="Q7" s="19"/>
      <c r="R7" s="19"/>
      <c r="S7" s="19"/>
      <c r="T7" s="19"/>
      <c r="U7" s="19"/>
      <c r="V7" s="19"/>
      <c r="W7" s="19"/>
      <c r="X7" s="19"/>
      <c r="Y7" s="19"/>
    </row>
    <row r="8" spans="1:64" ht="18.2" customHeight="1">
      <c r="B8" s="133">
        <v>1</v>
      </c>
      <c r="C8" s="134" t="s">
        <v>501</v>
      </c>
      <c r="D8" s="72" t="s">
        <v>516</v>
      </c>
      <c r="E8" s="72" t="s">
        <v>62</v>
      </c>
      <c r="F8" s="158" t="s">
        <v>483</v>
      </c>
      <c r="G8" s="72" t="s">
        <v>517</v>
      </c>
      <c r="H8" s="187" t="s">
        <v>20</v>
      </c>
      <c r="I8" s="19"/>
      <c r="J8" s="19"/>
      <c r="K8" s="19"/>
      <c r="L8" s="19"/>
      <c r="M8" s="19"/>
      <c r="N8" s="19"/>
      <c r="O8" s="19"/>
      <c r="P8" s="19"/>
      <c r="Q8" s="19"/>
      <c r="R8" s="19"/>
      <c r="S8" s="19"/>
      <c r="T8" s="19"/>
      <c r="U8" s="19"/>
      <c r="V8" s="19"/>
      <c r="W8" s="19"/>
      <c r="X8" s="19"/>
      <c r="Y8" s="19"/>
    </row>
    <row r="9" spans="1:64" ht="18.2" customHeight="1">
      <c r="B9" s="70">
        <v>2</v>
      </c>
      <c r="C9" s="71" t="s">
        <v>502</v>
      </c>
      <c r="D9" s="72" t="s">
        <v>516</v>
      </c>
      <c r="E9" s="72" t="s">
        <v>79</v>
      </c>
      <c r="F9" s="158" t="s">
        <v>486</v>
      </c>
      <c r="G9" s="72" t="s">
        <v>518</v>
      </c>
      <c r="H9" s="132"/>
      <c r="I9" s="19"/>
      <c r="J9" s="19"/>
      <c r="K9" s="19"/>
      <c r="L9" s="19"/>
      <c r="M9" s="19"/>
      <c r="N9" s="19"/>
      <c r="O9" s="19"/>
      <c r="P9" s="19"/>
      <c r="Q9" s="19"/>
      <c r="R9" s="19"/>
      <c r="S9" s="19"/>
      <c r="T9" s="19"/>
      <c r="U9" s="19"/>
      <c r="V9" s="19"/>
      <c r="W9" s="19"/>
      <c r="X9" s="19"/>
      <c r="Y9" s="19"/>
    </row>
    <row r="10" spans="1:64" ht="18.2" customHeight="1">
      <c r="B10" s="70">
        <v>3</v>
      </c>
      <c r="C10" s="71" t="s">
        <v>503</v>
      </c>
      <c r="D10" s="72" t="s">
        <v>516</v>
      </c>
      <c r="E10" s="72" t="s">
        <v>79</v>
      </c>
      <c r="F10" s="158" t="s">
        <v>487</v>
      </c>
      <c r="G10" s="72" t="s">
        <v>519</v>
      </c>
      <c r="H10" s="132"/>
      <c r="I10" s="19"/>
      <c r="J10" s="19"/>
      <c r="K10" s="19"/>
      <c r="L10" s="19"/>
      <c r="M10" s="19"/>
      <c r="N10" s="19"/>
      <c r="O10" s="19"/>
      <c r="P10" s="19"/>
      <c r="Q10" s="19"/>
      <c r="R10" s="19"/>
      <c r="S10" s="19"/>
      <c r="T10" s="19"/>
      <c r="U10" s="19"/>
      <c r="V10" s="19"/>
      <c r="W10" s="19"/>
      <c r="X10" s="19"/>
      <c r="Y10" s="19"/>
    </row>
    <row r="11" spans="1:64" ht="18.2" customHeight="1">
      <c r="B11" s="70">
        <v>4</v>
      </c>
      <c r="C11" s="71" t="s">
        <v>504</v>
      </c>
      <c r="D11" s="72" t="s">
        <v>516</v>
      </c>
      <c r="E11" s="72" t="s">
        <v>79</v>
      </c>
      <c r="F11" s="158" t="s">
        <v>488</v>
      </c>
      <c r="G11" s="72" t="s">
        <v>520</v>
      </c>
      <c r="H11" s="132" t="s">
        <v>4</v>
      </c>
      <c r="I11" s="19"/>
      <c r="J11" s="19"/>
      <c r="K11" s="19"/>
      <c r="L11" s="19"/>
      <c r="M11" s="19"/>
      <c r="N11" s="19"/>
      <c r="O11" s="19"/>
      <c r="P11" s="19"/>
      <c r="Q11" s="19"/>
      <c r="R11" s="19"/>
      <c r="S11" s="19"/>
      <c r="T11" s="19"/>
      <c r="U11" s="19"/>
      <c r="V11" s="19"/>
      <c r="W11" s="19"/>
      <c r="X11" s="19"/>
      <c r="Y11" s="19"/>
    </row>
    <row r="12" spans="1:64" ht="18.2" customHeight="1">
      <c r="B12" s="70">
        <v>5</v>
      </c>
      <c r="C12" s="71" t="s">
        <v>505</v>
      </c>
      <c r="D12" s="72" t="s">
        <v>516</v>
      </c>
      <c r="E12" s="72" t="s">
        <v>79</v>
      </c>
      <c r="F12" s="158" t="s">
        <v>489</v>
      </c>
      <c r="G12" s="72" t="s">
        <v>521</v>
      </c>
      <c r="H12" s="132"/>
      <c r="I12" s="19"/>
      <c r="J12" s="19"/>
      <c r="K12" s="19"/>
      <c r="L12" s="19"/>
      <c r="M12" s="19"/>
      <c r="N12" s="19"/>
      <c r="O12" s="19"/>
      <c r="P12" s="19"/>
      <c r="Q12" s="19"/>
      <c r="R12" s="19"/>
      <c r="S12" s="19"/>
      <c r="T12" s="19"/>
      <c r="U12" s="19"/>
      <c r="V12" s="19"/>
      <c r="W12" s="19"/>
      <c r="X12" s="19"/>
      <c r="Y12" s="19"/>
    </row>
    <row r="13" spans="1:64" ht="18.2" customHeight="1">
      <c r="B13" s="70">
        <v>6</v>
      </c>
      <c r="C13" s="71" t="s">
        <v>506</v>
      </c>
      <c r="D13" s="72" t="s">
        <v>516</v>
      </c>
      <c r="E13" s="72" t="s">
        <v>79</v>
      </c>
      <c r="F13" s="158" t="s">
        <v>490</v>
      </c>
      <c r="G13" s="72" t="s">
        <v>522</v>
      </c>
      <c r="H13" s="132"/>
      <c r="I13" s="19"/>
      <c r="J13" s="19"/>
      <c r="K13" s="19"/>
      <c r="L13" s="19"/>
      <c r="M13" s="19"/>
      <c r="N13" s="19"/>
      <c r="O13" s="19"/>
      <c r="P13" s="19"/>
      <c r="Q13" s="19"/>
      <c r="R13" s="19"/>
      <c r="S13" s="19"/>
      <c r="T13" s="19"/>
      <c r="V13" s="19"/>
      <c r="W13" s="19"/>
      <c r="X13" s="19"/>
      <c r="Y13" s="19"/>
    </row>
    <row r="14" spans="1:64" ht="18.2" customHeight="1">
      <c r="B14" s="70">
        <v>7</v>
      </c>
      <c r="C14" s="71" t="s">
        <v>507</v>
      </c>
      <c r="D14" s="72" t="s">
        <v>516</v>
      </c>
      <c r="E14" s="72" t="s">
        <v>79</v>
      </c>
      <c r="F14" s="158" t="s">
        <v>491</v>
      </c>
      <c r="G14" s="72" t="s">
        <v>523</v>
      </c>
      <c r="H14" s="132"/>
      <c r="I14" s="19"/>
      <c r="J14" s="19"/>
      <c r="K14" s="19"/>
      <c r="L14" s="19"/>
      <c r="M14" s="19"/>
      <c r="N14" s="19"/>
      <c r="O14" s="19"/>
      <c r="P14" s="19"/>
      <c r="Q14" s="19"/>
      <c r="R14" s="19"/>
      <c r="S14" s="19"/>
      <c r="T14" s="19"/>
      <c r="U14" s="19"/>
      <c r="V14" s="19"/>
      <c r="W14" s="19"/>
      <c r="X14" s="19"/>
      <c r="Y14" s="19"/>
    </row>
    <row r="15" spans="1:64" ht="18.2" customHeight="1">
      <c r="B15" s="70">
        <v>8</v>
      </c>
      <c r="C15" s="71" t="s">
        <v>508</v>
      </c>
      <c r="D15" s="72" t="s">
        <v>516</v>
      </c>
      <c r="E15" s="72" t="s">
        <v>79</v>
      </c>
      <c r="F15" s="158" t="s">
        <v>492</v>
      </c>
      <c r="G15" s="72" t="s">
        <v>524</v>
      </c>
      <c r="H15" s="132"/>
      <c r="I15" s="19"/>
      <c r="J15" s="19"/>
      <c r="K15" s="19"/>
      <c r="L15" s="19"/>
      <c r="M15" s="19"/>
      <c r="N15" s="19"/>
      <c r="O15" s="19"/>
      <c r="P15" s="19"/>
      <c r="Q15" s="19"/>
      <c r="R15" s="19"/>
      <c r="S15" s="19"/>
      <c r="T15" s="19"/>
      <c r="U15" s="19"/>
      <c r="V15" s="19"/>
      <c r="W15" s="19"/>
      <c r="X15" s="19"/>
      <c r="Y15" s="19"/>
    </row>
    <row r="16" spans="1:64" ht="18.2" customHeight="1">
      <c r="B16" s="70">
        <v>9</v>
      </c>
      <c r="C16" s="71" t="s">
        <v>509</v>
      </c>
      <c r="D16" s="72" t="s">
        <v>516</v>
      </c>
      <c r="E16" s="72" t="s">
        <v>66</v>
      </c>
      <c r="F16" s="158" t="s">
        <v>493</v>
      </c>
      <c r="G16" s="72" t="s">
        <v>525</v>
      </c>
      <c r="H16" s="132"/>
      <c r="I16" s="19"/>
      <c r="J16" s="19"/>
      <c r="K16" s="19"/>
      <c r="L16" s="19"/>
      <c r="M16" s="19"/>
      <c r="N16" s="19"/>
      <c r="O16" s="19"/>
      <c r="P16" s="19"/>
      <c r="Q16" s="19"/>
      <c r="R16" s="19"/>
      <c r="S16" s="19"/>
      <c r="T16" s="19"/>
      <c r="U16" s="19"/>
      <c r="V16" s="19"/>
      <c r="W16" s="19"/>
      <c r="X16" s="19"/>
      <c r="Y16" s="19"/>
    </row>
    <row r="17" spans="2:25" ht="18.2" customHeight="1">
      <c r="B17" s="70">
        <v>10</v>
      </c>
      <c r="C17" s="71" t="s">
        <v>510</v>
      </c>
      <c r="D17" s="72" t="s">
        <v>516</v>
      </c>
      <c r="E17" s="72" t="s">
        <v>79</v>
      </c>
      <c r="F17" s="158" t="s">
        <v>494</v>
      </c>
      <c r="G17" s="72" t="s">
        <v>526</v>
      </c>
      <c r="H17" s="132"/>
      <c r="I17" s="19"/>
      <c r="J17" s="19"/>
      <c r="K17" s="19"/>
      <c r="L17" s="19"/>
      <c r="M17" s="19"/>
      <c r="N17" s="19"/>
      <c r="O17" s="19"/>
      <c r="P17" s="19"/>
      <c r="Q17" s="19"/>
      <c r="R17" s="19"/>
      <c r="S17" s="19"/>
      <c r="T17" s="19"/>
      <c r="U17" s="19"/>
      <c r="V17" s="19"/>
      <c r="W17" s="19"/>
      <c r="X17" s="19"/>
      <c r="Y17" s="19"/>
    </row>
    <row r="18" spans="2:25" ht="18.2" customHeight="1">
      <c r="B18" s="70">
        <v>11</v>
      </c>
      <c r="C18" s="71" t="s">
        <v>511</v>
      </c>
      <c r="D18" s="72" t="s">
        <v>516</v>
      </c>
      <c r="E18" s="72" t="s">
        <v>79</v>
      </c>
      <c r="F18" s="158" t="s">
        <v>495</v>
      </c>
      <c r="G18" s="72" t="s">
        <v>527</v>
      </c>
      <c r="H18" s="132"/>
      <c r="I18" s="19"/>
      <c r="J18" s="19"/>
      <c r="K18" s="19"/>
      <c r="L18" s="19"/>
      <c r="M18" s="19"/>
      <c r="N18" s="19"/>
      <c r="O18" s="19"/>
      <c r="P18" s="19"/>
      <c r="Q18" s="19"/>
      <c r="R18" s="19"/>
      <c r="S18" s="19"/>
      <c r="T18" s="19"/>
      <c r="U18" s="19"/>
      <c r="V18" s="19"/>
      <c r="W18" s="19"/>
      <c r="X18" s="19"/>
      <c r="Y18" s="19"/>
    </row>
    <row r="19" spans="2:25" ht="18.2" customHeight="1">
      <c r="B19" s="70">
        <v>12</v>
      </c>
      <c r="C19" s="71" t="s">
        <v>512</v>
      </c>
      <c r="D19" s="72" t="s">
        <v>516</v>
      </c>
      <c r="E19" s="72" t="s">
        <v>66</v>
      </c>
      <c r="F19" s="158" t="s">
        <v>496</v>
      </c>
      <c r="G19" s="72" t="s">
        <v>528</v>
      </c>
      <c r="H19" s="132"/>
      <c r="I19" s="19"/>
      <c r="J19" s="19"/>
      <c r="K19" s="19"/>
      <c r="L19" s="19"/>
      <c r="M19" s="19"/>
      <c r="N19" s="19"/>
      <c r="O19" s="19"/>
      <c r="P19" s="19"/>
      <c r="Q19" s="19"/>
      <c r="R19" s="19"/>
      <c r="S19" s="19"/>
      <c r="T19" s="19"/>
      <c r="U19" s="19"/>
      <c r="V19" s="19"/>
      <c r="W19" s="19"/>
      <c r="X19" s="19"/>
      <c r="Y19" s="19"/>
    </row>
    <row r="20" spans="2:25" ht="18.2" customHeight="1">
      <c r="B20" s="70">
        <v>13</v>
      </c>
      <c r="C20" s="71" t="s">
        <v>513</v>
      </c>
      <c r="D20" s="72" t="s">
        <v>516</v>
      </c>
      <c r="E20" s="72" t="s">
        <v>79</v>
      </c>
      <c r="F20" s="158" t="s">
        <v>497</v>
      </c>
      <c r="G20" s="72" t="s">
        <v>529</v>
      </c>
      <c r="H20" s="132"/>
      <c r="I20" s="19"/>
      <c r="J20" s="19"/>
      <c r="K20" s="19"/>
      <c r="L20" s="19"/>
      <c r="M20" s="19"/>
      <c r="N20" s="19"/>
      <c r="O20" s="19"/>
      <c r="P20" s="19"/>
      <c r="Q20" s="19"/>
      <c r="R20" s="19"/>
      <c r="S20" s="19"/>
      <c r="T20" s="19"/>
      <c r="U20" s="19"/>
      <c r="V20" s="19"/>
      <c r="W20" s="19"/>
      <c r="X20" s="19"/>
      <c r="Y20" s="19"/>
    </row>
    <row r="21" spans="2:25" ht="18.2" customHeight="1">
      <c r="B21" s="70">
        <v>14</v>
      </c>
      <c r="C21" s="71" t="s">
        <v>514</v>
      </c>
      <c r="D21" s="72" t="s">
        <v>516</v>
      </c>
      <c r="E21" s="72" t="s">
        <v>74</v>
      </c>
      <c r="F21" s="158" t="s">
        <v>498</v>
      </c>
      <c r="G21" s="72" t="s">
        <v>530</v>
      </c>
      <c r="H21" s="132"/>
      <c r="I21" s="19"/>
      <c r="J21" s="19"/>
      <c r="K21" s="19"/>
      <c r="L21" s="19"/>
      <c r="M21" s="19"/>
      <c r="N21" s="19"/>
      <c r="O21" s="19"/>
      <c r="P21" s="19"/>
      <c r="Q21" s="19"/>
      <c r="R21" s="19"/>
      <c r="S21" s="19"/>
      <c r="T21" s="19"/>
      <c r="U21" s="19"/>
      <c r="V21" s="19"/>
      <c r="W21" s="19"/>
      <c r="X21" s="19"/>
      <c r="Y21" s="19"/>
    </row>
    <row r="22" spans="2:25" ht="18.2" customHeight="1">
      <c r="B22" s="70">
        <v>15</v>
      </c>
      <c r="C22" s="71" t="s">
        <v>70</v>
      </c>
      <c r="D22" s="72" t="s">
        <v>516</v>
      </c>
      <c r="E22" s="72" t="s">
        <v>70</v>
      </c>
      <c r="F22" s="158" t="s">
        <v>499</v>
      </c>
      <c r="G22" s="72" t="s">
        <v>531</v>
      </c>
      <c r="H22" s="132"/>
      <c r="I22" s="19"/>
      <c r="J22" s="19"/>
      <c r="K22" s="19"/>
      <c r="L22" s="19"/>
      <c r="M22" s="19"/>
      <c r="N22" s="19"/>
      <c r="O22" s="19"/>
      <c r="P22" s="19"/>
      <c r="Q22" s="19"/>
      <c r="R22" s="19"/>
      <c r="S22" s="19"/>
      <c r="T22" s="19"/>
      <c r="U22" s="19"/>
      <c r="V22" s="19"/>
      <c r="W22" s="19"/>
      <c r="X22" s="19"/>
      <c r="Y22" s="19"/>
    </row>
    <row r="23" spans="2:25" ht="18.2" customHeight="1">
      <c r="B23" s="70">
        <v>16</v>
      </c>
      <c r="C23" s="71" t="s">
        <v>515</v>
      </c>
      <c r="D23" s="72" t="s">
        <v>516</v>
      </c>
      <c r="E23" s="72" t="s">
        <v>77</v>
      </c>
      <c r="F23" s="158" t="s">
        <v>500</v>
      </c>
      <c r="G23" s="72" t="s">
        <v>532</v>
      </c>
      <c r="H23" s="132"/>
      <c r="I23" s="19"/>
      <c r="J23" s="19"/>
      <c r="K23" s="19"/>
      <c r="L23" s="19"/>
      <c r="M23" s="19"/>
      <c r="N23" s="19"/>
      <c r="O23" s="19"/>
      <c r="P23" s="19"/>
      <c r="Q23" s="19"/>
      <c r="R23" s="19"/>
      <c r="S23" s="19"/>
      <c r="T23" s="19"/>
      <c r="U23" s="19"/>
      <c r="V23" s="19"/>
      <c r="W23" s="19"/>
      <c r="X23" s="19"/>
      <c r="Y23" s="19"/>
    </row>
    <row r="24" spans="2:25" ht="18.2" customHeight="1">
      <c r="B24" s="70">
        <v>17</v>
      </c>
      <c r="C24" s="71"/>
      <c r="D24" s="72"/>
      <c r="E24" s="72"/>
      <c r="F24" s="158"/>
      <c r="G24" s="72"/>
      <c r="H24" s="132"/>
      <c r="I24" s="19"/>
      <c r="J24" s="19"/>
      <c r="K24" s="19"/>
      <c r="L24" s="19"/>
      <c r="M24" s="19"/>
      <c r="N24" s="19"/>
      <c r="O24" s="19"/>
      <c r="P24" s="19"/>
      <c r="Q24" s="19"/>
      <c r="R24" s="19"/>
      <c r="S24" s="19"/>
      <c r="T24" s="19"/>
      <c r="U24" s="19"/>
      <c r="V24" s="19"/>
      <c r="W24" s="19"/>
      <c r="X24" s="19"/>
      <c r="Y24" s="19"/>
    </row>
    <row r="25" spans="2:25" ht="18.2" customHeight="1">
      <c r="B25" s="70">
        <v>18</v>
      </c>
      <c r="C25" s="71"/>
      <c r="D25" s="72"/>
      <c r="E25" s="72"/>
      <c r="F25" s="158"/>
      <c r="G25" s="72"/>
      <c r="H25" s="132"/>
      <c r="I25" s="19"/>
      <c r="J25" s="19"/>
      <c r="K25" s="19"/>
      <c r="L25" s="19"/>
      <c r="M25" s="19"/>
      <c r="N25" s="19"/>
      <c r="O25" s="19"/>
      <c r="P25" s="19"/>
      <c r="Q25" s="19"/>
      <c r="R25" s="19"/>
      <c r="S25" s="19"/>
      <c r="T25" s="19"/>
      <c r="U25" s="19"/>
      <c r="V25" s="19"/>
      <c r="W25" s="19"/>
      <c r="X25" s="19"/>
      <c r="Y25" s="19"/>
    </row>
    <row r="26" spans="2:25" ht="18.2" customHeight="1">
      <c r="B26" s="70">
        <v>19</v>
      </c>
      <c r="C26" s="71"/>
      <c r="D26" s="72"/>
      <c r="E26" s="72"/>
      <c r="F26" s="158"/>
      <c r="G26" s="72"/>
      <c r="H26" s="132"/>
      <c r="I26" s="19"/>
      <c r="J26" s="19"/>
      <c r="K26" s="19"/>
      <c r="L26" s="19"/>
      <c r="M26" s="19"/>
      <c r="N26" s="19"/>
      <c r="O26" s="19"/>
      <c r="P26" s="19"/>
      <c r="Q26" s="19"/>
      <c r="R26" s="19"/>
      <c r="S26" s="19"/>
      <c r="T26" s="19"/>
      <c r="U26" s="19"/>
      <c r="V26" s="19"/>
      <c r="W26" s="19"/>
      <c r="X26" s="19"/>
      <c r="Y26" s="19"/>
    </row>
    <row r="27" spans="2:25" ht="18.2" customHeight="1">
      <c r="B27" s="70">
        <v>20</v>
      </c>
      <c r="C27" s="71"/>
      <c r="D27" s="72"/>
      <c r="E27" s="72"/>
      <c r="F27" s="158"/>
      <c r="G27" s="72"/>
      <c r="H27" s="132"/>
      <c r="I27" s="19"/>
      <c r="J27" s="19"/>
      <c r="K27" s="19"/>
      <c r="L27" s="19"/>
      <c r="M27" s="19"/>
      <c r="N27" s="19"/>
      <c r="O27" s="19"/>
      <c r="P27" s="19"/>
      <c r="Q27" s="19"/>
      <c r="R27" s="19"/>
      <c r="S27" s="19"/>
      <c r="T27" s="19"/>
      <c r="U27" s="19"/>
      <c r="V27" s="19"/>
      <c r="W27" s="19"/>
      <c r="X27" s="19"/>
      <c r="Y27" s="19"/>
    </row>
    <row r="28" spans="2:25" ht="18.2"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2"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2"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2"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2"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2"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2"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2"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2"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2"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2"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2"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2"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2"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2"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2" customHeight="1">
      <c r="B45" s="74" t="s">
        <v>311</v>
      </c>
      <c r="C45" s="75"/>
      <c r="D45" s="76">
        <f>COUNTA(F8:F42)</f>
        <v>16</v>
      </c>
      <c r="F45" s="19"/>
      <c r="G45" s="19"/>
      <c r="H45" s="19"/>
      <c r="I45" s="19"/>
      <c r="J45" s="19"/>
      <c r="K45" s="19"/>
      <c r="L45" s="19"/>
      <c r="M45" s="19"/>
      <c r="N45" s="19"/>
      <c r="O45" s="19"/>
      <c r="P45" s="19"/>
      <c r="Q45" s="19"/>
      <c r="R45" s="19"/>
      <c r="S45" s="19"/>
      <c r="T45" s="19"/>
      <c r="U45" s="19"/>
      <c r="V45" s="19"/>
      <c r="W45" s="19"/>
      <c r="X45" s="19"/>
    </row>
    <row r="46" spans="2:25" ht="18.2"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2" customHeight="1">
      <c r="B47" s="74" t="s">
        <v>312</v>
      </c>
      <c r="C47" s="75"/>
      <c r="D47" s="76">
        <f>D45-D49</f>
        <v>14</v>
      </c>
      <c r="E47" s="19"/>
      <c r="F47" s="19"/>
      <c r="G47" s="19"/>
      <c r="H47" s="19"/>
      <c r="I47" s="19"/>
      <c r="J47" s="19"/>
      <c r="K47" s="19"/>
      <c r="L47" s="19"/>
      <c r="M47" s="19"/>
      <c r="N47" s="19"/>
      <c r="O47" s="19"/>
      <c r="P47" s="19"/>
      <c r="Q47" s="19"/>
      <c r="R47" s="19"/>
      <c r="S47" s="19"/>
      <c r="T47" s="19"/>
      <c r="U47" s="19"/>
      <c r="V47" s="19"/>
      <c r="W47" s="19"/>
      <c r="X47" s="19"/>
    </row>
    <row r="48" spans="2:25" ht="16.7"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399999999999999" customHeight="1">
      <c r="B49" s="74" t="s">
        <v>313</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21</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E44">
    <cfRule type="expression" dxfId="1665" priority="2">
      <formula>LEN(TRIM(F44))&gt;0</formula>
    </cfRule>
  </conditionalFormatting>
  <conditionalFormatting sqref="D52">
    <cfRule type="cellIs" dxfId="1664" priority="3" operator="equal">
      <formula>"SI"</formula>
    </cfRule>
    <cfRule type="cellIs" dxfId="1663" priority="4" operator="equal">
      <formula>"NO"</formula>
    </cfRule>
  </conditionalFormatting>
  <dataValidations count="1">
    <dataValidation type="list" operator="equal" allowBlank="1" showErrorMessage="1" errorTitle="Error" error="Debe seleccionar un tipo dentro del desplegable." sqref="D8:D42">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L138"/>
  <sheetViews>
    <sheetView zoomScale="70" zoomScaleNormal="70" workbookViewId="0"/>
  </sheetViews>
  <sheetFormatPr baseColWidth="10" defaultColWidth="11.5703125" defaultRowHeight="12.75"/>
  <cols>
    <col min="1" max="1" width="6.28515625" style="113" customWidth="1"/>
    <col min="2" max="2" width="16.140625" style="14" customWidth="1"/>
    <col min="3" max="3" width="64.140625" style="14" customWidth="1"/>
    <col min="4" max="4" width="18.28515625" style="113" customWidth="1"/>
    <col min="5" max="5" width="6.285156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42578125" style="14" customWidth="1"/>
    <col min="14" max="14" width="12.28515625" style="14" customWidth="1"/>
    <col min="15"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95" customHeight="1">
      <c r="B8" s="111" t="s">
        <v>372</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38" t="s">
        <v>23</v>
      </c>
      <c r="G11" s="136" t="s">
        <v>359</v>
      </c>
      <c r="H11" s="139" t="s">
        <v>24</v>
      </c>
      <c r="I11" s="23"/>
      <c r="J11" s="138" t="s">
        <v>25</v>
      </c>
      <c r="K11" s="136" t="s">
        <v>359</v>
      </c>
      <c r="L11" s="139" t="s">
        <v>24</v>
      </c>
      <c r="M11" s="19"/>
      <c r="N11" s="19"/>
      <c r="O11" s="186"/>
      <c r="P11" s="19"/>
      <c r="Q11" s="19"/>
      <c r="R11" s="19"/>
      <c r="U11" s="19"/>
      <c r="V11" s="19"/>
      <c r="W11" s="19"/>
      <c r="X11" s="19"/>
      <c r="Y11" s="19"/>
    </row>
    <row r="12" spans="1:64" ht="12" customHeight="1">
      <c r="B12" s="143" t="s">
        <v>90</v>
      </c>
      <c r="C12" s="57">
        <f>COUNTIF($B$18:$B$3773,B12)</f>
        <v>3</v>
      </c>
      <c r="D12" s="28"/>
      <c r="E12" s="14"/>
      <c r="F12" s="62" t="s">
        <v>26</v>
      </c>
      <c r="G12" s="61">
        <f ca="1">J20+J58+J96</f>
        <v>0</v>
      </c>
      <c r="H12" s="53">
        <f ca="1">IF(($G$15+$K$15)=0,0,G12/($G$15+$K$15))</f>
        <v>0</v>
      </c>
      <c r="I12" s="28"/>
      <c r="J12" s="60" t="s">
        <v>27</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f>
        <v>0</v>
      </c>
      <c r="H13" s="53">
        <f ca="1">IF(($G$15+$K$15)=0,0,G13/($G$15+$K$15))</f>
        <v>0</v>
      </c>
      <c r="I13" s="28"/>
      <c r="J13" s="60" t="s">
        <v>29</v>
      </c>
      <c r="K13" s="61">
        <f ca="1">F20+F58+F96</f>
        <v>0</v>
      </c>
      <c r="L13" s="53">
        <f ca="1">IF(($G$15+$K$15)=0,0,K13/($G$15+$K$15))</f>
        <v>0</v>
      </c>
      <c r="M13" s="19"/>
      <c r="N13" s="19"/>
      <c r="O13" s="19"/>
      <c r="P13" s="19"/>
      <c r="Q13" s="19"/>
      <c r="R13" s="19"/>
      <c r="U13" s="19"/>
      <c r="V13" s="19"/>
      <c r="W13" s="19"/>
      <c r="X13" s="19"/>
      <c r="Y13" s="19"/>
    </row>
    <row r="14" spans="1:64" ht="12" customHeight="1" thickBot="1">
      <c r="B14" s="58" t="s">
        <v>30</v>
      </c>
      <c r="C14" s="59">
        <f>C12+C13</f>
        <v>3</v>
      </c>
      <c r="D14" s="28"/>
      <c r="E14" s="14"/>
      <c r="F14" s="62" t="s">
        <v>31</v>
      </c>
      <c r="G14" s="61">
        <f ca="1">H20+H58+H96</f>
        <v>48</v>
      </c>
      <c r="H14" s="53">
        <f ca="1">IF(($G$15+$K$15)=0,0,G14/($G$15+$K$15))</f>
        <v>1</v>
      </c>
      <c r="I14" s="28"/>
      <c r="J14" s="224" t="s">
        <v>474</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48</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251</v>
      </c>
      <c r="D18" s="26" t="s">
        <v>32</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https://www.comunidad.madrid/hospital/clinicosancarlos/</v>
      </c>
      <c r="D19" s="130" t="s">
        <v>35</v>
      </c>
      <c r="E19" s="107" t="str">
        <f t="shared" ref="E19:E53" si="0">IF(D19&lt;&gt;"",IF(AND(B19&lt;&gt;"",C19&lt;&gt;""),"","ERR"),"")</f>
        <v/>
      </c>
      <c r="F19" s="115" t="s">
        <v>33</v>
      </c>
      <c r="G19" s="116" t="s">
        <v>37</v>
      </c>
      <c r="H19" s="117" t="s">
        <v>35</v>
      </c>
      <c r="I19" s="118" t="s">
        <v>28</v>
      </c>
      <c r="J19" s="119" t="s">
        <v>26</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Ciudadanos</v>
      </c>
      <c r="C20" s="220" t="str" cm="1">
        <f t="array" ref="C20">IFERROR(INDEX('03.Muestra'!$F$8:$F$42,SMALL(IF("Página Web"='03.Muestra'!$D$8:$D$42,ROW('03.Muestra'!$F$8:$F$42)-MIN(ROW('03.Muestra'!$D$8:$D$42))+1,""),ROW()-18)),"")</f>
        <v>https://www.comunidad.madrid/hospital/clinicosancarlos/ciudadanos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Consultas externas</v>
      </c>
      <c r="C21" s="220" t="str" cm="1">
        <f t="array" ref="C21">IFERROR(INDEX('03.Muestra'!$F$8:$F$42,SMALL(IF("Página Web"='03.Muestra'!$D$8:$D$42,ROW('03.Muestra'!$F$8:$F$42)-MIN(ROW('03.Muestra'!$D$8:$D$42))+1,""),ROW()-18)),"")</f>
        <v>https://www.comunidad.madrid/hospital/clinicosancarlos/ciudadanos/consultas-externas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Donación</v>
      </c>
      <c r="C22" s="220" t="str" cm="1">
        <f t="array" ref="C22">IFERROR(INDEX('03.Muestra'!$F$8:$F$42,SMALL(IF("Página Web"='03.Muestra'!$D$8:$D$42,ROW('03.Muestra'!$F$8:$F$42)-MIN(ROW('03.Muestra'!$D$8:$D$42))+1,""),ROW()-18)),"")</f>
        <v>https://www.comunidad.madrid/hospital/clinicosancarlos/ciudadanos/donacion-0</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Profesionales</v>
      </c>
      <c r="C23" s="220" t="str" cm="1">
        <f t="array" ref="C23">IFERROR(INDEX('03.Muestra'!$F$8:$F$42,SMALL(IF("Página Web"='03.Muestra'!$D$8:$D$42,ROW('03.Muestra'!$F$8:$F$42)-MIN(ROW('03.Muestra'!$D$8:$D$42))+1,""),ROW()-18)),"")</f>
        <v>https://www.comunidad.madrid/hospital/clinicosancarlos/profesionales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Docencia</v>
      </c>
      <c r="C24" s="220" t="str" cm="1">
        <f t="array" ref="C24">IFERROR(INDEX('03.Muestra'!$F$8:$F$42,SMALL(IF("Página Web"='03.Muestra'!$D$8:$D$42,ROW('03.Muestra'!$F$8:$F$42)-MIN(ROW('03.Muestra'!$D$8:$D$42))+1,""),ROW()-18)),"")</f>
        <v>https://www.comunidad.madrid/hospital/clinicosancarlos/profesionales/docencia</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Referencia</v>
      </c>
      <c r="C25" s="220" t="str" cm="1">
        <f t="array" ref="C25">IFERROR(INDEX('03.Muestra'!$F$8:$F$42,SMALL(IF("Página Web"='03.Muestra'!$D$8:$D$42,ROW('03.Muestra'!$F$8:$F$42)-MIN(ROW('03.Muestra'!$D$8:$D$42))+1,""),ROW()-18)),"")</f>
        <v>https://www.comunidad.madrid/hospital/clinicosancarlos/profesionales/unidades-referencia-nacional-redes-europeas</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Comunicación</v>
      </c>
      <c r="C26" s="220" t="str" cm="1">
        <f t="array" ref="C26">IFERROR(INDEX('03.Muestra'!$F$8:$F$42,SMALL(IF("Página Web"='03.Muestra'!$D$8:$D$42,ROW('03.Muestra'!$F$8:$F$42)-MIN(ROW('03.Muestra'!$D$8:$D$42))+1,""),ROW()-18)),"")</f>
        <v>https://www.comunidad.madrid/hospital/clinicosancarlos/comunicacion</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Videoteca</v>
      </c>
      <c r="C27" s="220" t="str" cm="1">
        <f t="array" ref="C27">IFERROR(INDEX('03.Muestra'!$F$8:$F$42,SMALL(IF("Página Web"='03.Muestra'!$D$8:$D$42,ROW('03.Muestra'!$F$8:$F$42)-MIN(ROW('03.Muestra'!$D$8:$D$42))+1,""),ROW()-18)),"")</f>
        <v>https://www.comunidad.madrid/hospital/clinicosancarlos/comunicacion/videoteca</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Noticias</v>
      </c>
      <c r="C28" s="220" t="str" cm="1">
        <f t="array" ref="C28">IFERROR(INDEX('03.Muestra'!$F$8:$F$42,SMALL(IF("Página Web"='03.Muestra'!$D$8:$D$42,ROW('03.Muestra'!$F$8:$F$42)-MIN(ROW('03.Muestra'!$D$8:$D$42))+1,""),ROW()-18)),"")</f>
        <v>https://www.comunidad.madrid/hospital/clinicosancarlos/comunicacion/noticias</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Nosotros</v>
      </c>
      <c r="C29" s="220" t="str" cm="1">
        <f t="array" ref="C29">IFERROR(INDEX('03.Muestra'!$F$8:$F$42,SMALL(IF("Página Web"='03.Muestra'!$D$8:$D$42,ROW('03.Muestra'!$F$8:$F$42)-MIN(ROW('03.Muestra'!$D$8:$D$42))+1,""),ROW()-18)),"")</f>
        <v>https://www.comunidad.madrid/hospital/clinicosancarlos/nosotros</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Gestión Ambiental</v>
      </c>
      <c r="C30" s="220" t="str" cm="1">
        <f t="array" ref="C30">IFERROR(INDEX('03.Muestra'!$F$8:$F$42,SMALL(IF("Página Web"='03.Muestra'!$D$8:$D$42,ROW('03.Muestra'!$F$8:$F$42)-MIN(ROW('03.Muestra'!$D$8:$D$42))+1,""),ROW()-18)),"")</f>
        <v>https://www.comunidad.madrid/hospital/clinicosancarlos/nosotros/gestion-ambiental</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Proveedores</v>
      </c>
      <c r="C31" s="220" t="str" cm="1">
        <f t="array" ref="C31">IFERROR(INDEX('03.Muestra'!$F$8:$F$42,SMALL(IF("Página Web"='03.Muestra'!$D$8:$D$42,ROW('03.Muestra'!$F$8:$F$42)-MIN(ROW('03.Muestra'!$D$8:$D$42))+1,""),ROW()-18)),"")</f>
        <v>https://www.comunidad.madrid/hospital/clinicosancarlos/nosotros/proveedores-0</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Aviso legal</v>
      </c>
      <c r="C32" s="220" t="str" cm="1">
        <f t="array" ref="C32">IFERROR(INDEX('03.Muestra'!$F$8:$F$42,SMALL(IF("Página Web"='03.Muestra'!$D$8:$D$42,ROW('03.Muestra'!$F$8:$F$42)-MIN(ROW('03.Muestra'!$D$8:$D$42))+1,""),ROW()-18)),"")</f>
        <v>https://www.comunidad.madrid/hospital/clinicosancarlos/aviso-legal-privacidad</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Mapa web</v>
      </c>
      <c r="C33" s="220" t="str" cm="1">
        <f t="array" ref="C33">IFERROR(INDEX('03.Muestra'!$F$8:$F$42,SMALL(IF("Página Web"='03.Muestra'!$D$8:$D$42,ROW('03.Muestra'!$F$8:$F$42)-MIN(ROW('03.Muestra'!$D$8:$D$42))+1,""),ROW()-18)),"")</f>
        <v>https://www.comunidad.madrid/hospital/clinicosancarlos/sitemap</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Accesibilidad</v>
      </c>
      <c r="C34" s="220" t="str" cm="1">
        <f t="array" ref="C34">IFERROR(INDEX('03.Muestra'!$F$8:$F$42,SMALL(IF("Página Web"='03.Muestra'!$D$8:$D$42,ROW('03.Muestra'!$F$8:$F$42)-MIN(ROW('03.Muestra'!$D$8:$D$42))+1,""),ROW()-18)),"")</f>
        <v>https://www.comunidad.madrid/hospital/clinicosancarlos/declaracion-accesibilidad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220" t="str" cm="1">
        <f t="array" ref="B35">IFERROR(INDEX('03.Muestra'!$C$8:$C$42,SMALL(IF("Página Web"='03.Muestra'!$D$8:$D$42,ROW('03.Muestra'!$C$8:$C$42)-MIN(ROW('03.Muestra'!$D$8:$D$42))+1,""),ROW()-18)),"")</f>
        <v/>
      </c>
      <c r="C35" s="220"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220" t="str" cm="1">
        <f t="array" ref="B36">IFERROR(INDEX('03.Muestra'!$C$8:$C$42,SMALL(IF("Página Web"='03.Muestra'!$D$8:$D$42,ROW('03.Muestra'!$C$8:$C$42)-MIN(ROW('03.Muestra'!$D$8:$D$42))+1,""),ROW()-18)),"")</f>
        <v/>
      </c>
      <c r="C36" s="220"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220" t="str" cm="1">
        <f t="array" ref="B37">IFERROR(INDEX('03.Muestra'!$C$8:$C$42,SMALL(IF("Página Web"='03.Muestra'!$D$8:$D$42,ROW('03.Muestra'!$C$8:$C$42)-MIN(ROW('03.Muestra'!$D$8:$D$42))+1,""),ROW()-18)),"")</f>
        <v/>
      </c>
      <c r="C37" s="220"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220" t="str" cm="1">
        <f t="array" ref="B38">IFERROR(INDEX('03.Muestra'!$C$8:$C$42,SMALL(IF("Página Web"='03.Muestra'!$D$8:$D$42,ROW('03.Muestra'!$C$8:$C$42)-MIN(ROW('03.Muestra'!$D$8:$D$42))+1,""),ROW()-18)),"")</f>
        <v/>
      </c>
      <c r="C38" s="220"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252</v>
      </c>
      <c r="D56" s="26" t="s">
        <v>32</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https://www.comunidad.madrid/hospital/clinicosancarlos/</v>
      </c>
      <c r="D57" s="130" t="s">
        <v>35</v>
      </c>
      <c r="E57" s="107" t="str">
        <f t="shared" ref="E57:E91" si="2">IF(D57&lt;&gt;"",IF(AND(B57&lt;&gt;"",C57&lt;&gt;""),"","ERR"),"")</f>
        <v/>
      </c>
      <c r="F57" s="115" t="s">
        <v>33</v>
      </c>
      <c r="G57" s="116" t="s">
        <v>37</v>
      </c>
      <c r="H57" s="117" t="s">
        <v>35</v>
      </c>
      <c r="I57" s="118" t="s">
        <v>28</v>
      </c>
      <c r="J57" s="119" t="s">
        <v>26</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Ciudadanos</v>
      </c>
      <c r="C58" s="221" t="str" cm="1">
        <f t="array" ref="C58">IFERROR(INDEX('03.Muestra'!$F$8:$F$42,SMALL(IF("Página Web"='03.Muestra'!$D$8:$D$42,ROW('03.Muestra'!$F$8:$F$42)-MIN(ROW('03.Muestra'!$D$8:$D$42))+1,""),ROW()-56)),"")</f>
        <v>https://www.comunidad.madrid/hospital/clinicosancarlos/ciudadanos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Consultas externas</v>
      </c>
      <c r="C59" s="221" t="str" cm="1">
        <f t="array" ref="C59">IFERROR(INDEX('03.Muestra'!$F$8:$F$42,SMALL(IF("Página Web"='03.Muestra'!$D$8:$D$42,ROW('03.Muestra'!$F$8:$F$42)-MIN(ROW('03.Muestra'!$D$8:$D$42))+1,""),ROW()-56)),"")</f>
        <v>https://www.comunidad.madrid/hospital/clinicosancarlos/ciudadanos/consultas-externas</v>
      </c>
      <c r="D59" s="130" t="s">
        <v>35</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Donación</v>
      </c>
      <c r="C60" s="221" t="str" cm="1">
        <f t="array" ref="C60">IFERROR(INDEX('03.Muestra'!$F$8:$F$42,SMALL(IF("Página Web"='03.Muestra'!$D$8:$D$42,ROW('03.Muestra'!$F$8:$F$42)-MIN(ROW('03.Muestra'!$D$8:$D$42))+1,""),ROW()-56)),"")</f>
        <v>https://www.comunidad.madrid/hospital/clinicosancarlos/ciudadanos/donacion-0</v>
      </c>
      <c r="D60" s="130" t="s">
        <v>35</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Profesionales</v>
      </c>
      <c r="C61" s="221" t="str" cm="1">
        <f t="array" ref="C61">IFERROR(INDEX('03.Muestra'!$F$8:$F$42,SMALL(IF("Página Web"='03.Muestra'!$D$8:$D$42,ROW('03.Muestra'!$F$8:$F$42)-MIN(ROW('03.Muestra'!$D$8:$D$42))+1,""),ROW()-56)),"")</f>
        <v>https://www.comunidad.madrid/hospital/clinicosancarlos/profesionales</v>
      </c>
      <c r="D61" s="130" t="s">
        <v>35</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Docencia</v>
      </c>
      <c r="C62" s="221" t="str" cm="1">
        <f t="array" ref="C62">IFERROR(INDEX('03.Muestra'!$F$8:$F$42,SMALL(IF("Página Web"='03.Muestra'!$D$8:$D$42,ROW('03.Muestra'!$F$8:$F$42)-MIN(ROW('03.Muestra'!$D$8:$D$42))+1,""),ROW()-56)),"")</f>
        <v>https://www.comunidad.madrid/hospital/clinicosancarlos/profesionales/docencia</v>
      </c>
      <c r="D62" s="130" t="s">
        <v>35</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Referencia</v>
      </c>
      <c r="C63" s="221" t="str" cm="1">
        <f t="array" ref="C63">IFERROR(INDEX('03.Muestra'!$F$8:$F$42,SMALL(IF("Página Web"='03.Muestra'!$D$8:$D$42,ROW('03.Muestra'!$F$8:$F$42)-MIN(ROW('03.Muestra'!$D$8:$D$42))+1,""),ROW()-56)),"")</f>
        <v>https://www.comunidad.madrid/hospital/clinicosancarlos/profesionales/unidades-referencia-nacional-redes-europeas</v>
      </c>
      <c r="D63" s="130" t="s">
        <v>35</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Comunicación</v>
      </c>
      <c r="C64" s="221" t="str" cm="1">
        <f t="array" ref="C64">IFERROR(INDEX('03.Muestra'!$F$8:$F$42,SMALL(IF("Página Web"='03.Muestra'!$D$8:$D$42,ROW('03.Muestra'!$F$8:$F$42)-MIN(ROW('03.Muestra'!$D$8:$D$42))+1,""),ROW()-56)),"")</f>
        <v>https://www.comunidad.madrid/hospital/clinicosancarlos/comunicacion</v>
      </c>
      <c r="D64" s="130" t="s">
        <v>35</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Videoteca</v>
      </c>
      <c r="C65" s="221" t="str" cm="1">
        <f t="array" ref="C65">IFERROR(INDEX('03.Muestra'!$F$8:$F$42,SMALL(IF("Página Web"='03.Muestra'!$D$8:$D$42,ROW('03.Muestra'!$F$8:$F$42)-MIN(ROW('03.Muestra'!$D$8:$D$42))+1,""),ROW()-56)),"")</f>
        <v>https://www.comunidad.madrid/hospital/clinicosancarlos/comunicacion/videoteca</v>
      </c>
      <c r="D65" s="130" t="s">
        <v>35</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Noticias</v>
      </c>
      <c r="C66" s="221" t="str" cm="1">
        <f t="array" ref="C66">IFERROR(INDEX('03.Muestra'!$F$8:$F$42,SMALL(IF("Página Web"='03.Muestra'!$D$8:$D$42,ROW('03.Muestra'!$F$8:$F$42)-MIN(ROW('03.Muestra'!$D$8:$D$42))+1,""),ROW()-56)),"")</f>
        <v>https://www.comunidad.madrid/hospital/clinicosancarlos/comunicacion/noticias</v>
      </c>
      <c r="D66" s="130" t="s">
        <v>35</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Nosotros</v>
      </c>
      <c r="C67" s="221" t="str" cm="1">
        <f t="array" ref="C67">IFERROR(INDEX('03.Muestra'!$F$8:$F$42,SMALL(IF("Página Web"='03.Muestra'!$D$8:$D$42,ROW('03.Muestra'!$F$8:$F$42)-MIN(ROW('03.Muestra'!$D$8:$D$42))+1,""),ROW()-56)),"")</f>
        <v>https://www.comunidad.madrid/hospital/clinicosancarlos/nosotros</v>
      </c>
      <c r="D67" s="130" t="s">
        <v>35</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Gestión Ambiental</v>
      </c>
      <c r="C68" s="221" t="str" cm="1">
        <f t="array" ref="C68">IFERROR(INDEX('03.Muestra'!$F$8:$F$42,SMALL(IF("Página Web"='03.Muestra'!$D$8:$D$42,ROW('03.Muestra'!$F$8:$F$42)-MIN(ROW('03.Muestra'!$D$8:$D$42))+1,""),ROW()-56)),"")</f>
        <v>https://www.comunidad.madrid/hospital/clinicosancarlos/nosotros/gestion-ambiental</v>
      </c>
      <c r="D68" s="130" t="s">
        <v>35</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Proveedores</v>
      </c>
      <c r="C69" s="221" t="str" cm="1">
        <f t="array" ref="C69">IFERROR(INDEX('03.Muestra'!$F$8:$F$42,SMALL(IF("Página Web"='03.Muestra'!$D$8:$D$42,ROW('03.Muestra'!$F$8:$F$42)-MIN(ROW('03.Muestra'!$D$8:$D$42))+1,""),ROW()-56)),"")</f>
        <v>https://www.comunidad.madrid/hospital/clinicosancarlos/nosotros/proveedores-0</v>
      </c>
      <c r="D69" s="130" t="s">
        <v>35</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Aviso legal</v>
      </c>
      <c r="C70" s="221" t="str" cm="1">
        <f t="array" ref="C70">IFERROR(INDEX('03.Muestra'!$F$8:$F$42,SMALL(IF("Página Web"='03.Muestra'!$D$8:$D$42,ROW('03.Muestra'!$F$8:$F$42)-MIN(ROW('03.Muestra'!$D$8:$D$42))+1,""),ROW()-56)),"")</f>
        <v>https://www.comunidad.madrid/hospital/clinicosancarlos/aviso-legal-privacidad</v>
      </c>
      <c r="D70" s="130" t="s">
        <v>35</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Mapa web</v>
      </c>
      <c r="C71" s="221" t="str" cm="1">
        <f t="array" ref="C71">IFERROR(INDEX('03.Muestra'!$F$8:$F$42,SMALL(IF("Página Web"='03.Muestra'!$D$8:$D$42,ROW('03.Muestra'!$F$8:$F$42)-MIN(ROW('03.Muestra'!$D$8:$D$42))+1,""),ROW()-56)),"")</f>
        <v>https://www.comunidad.madrid/hospital/clinicosancarlos/sitemap</v>
      </c>
      <c r="D71" s="130" t="s">
        <v>35</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Accesibilidad</v>
      </c>
      <c r="C72" s="221" t="str" cm="1">
        <f t="array" ref="C72">IFERROR(INDEX('03.Muestra'!$F$8:$F$42,SMALL(IF("Página Web"='03.Muestra'!$D$8:$D$42,ROW('03.Muestra'!$F$8:$F$42)-MIN(ROW('03.Muestra'!$D$8:$D$42))+1,""),ROW()-56)),"")</f>
        <v>https://www.comunidad.madrid/hospital/clinicosancarlos/declaracion-accesibilidad</v>
      </c>
      <c r="D72" s="130" t="s">
        <v>35</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t="str" cm="1">
        <f t="array" ref="A73">IFERROR(INDEX('03.Muestra'!$B$8:$B$42,SMALL(IF("Página Web"='03.Muestra'!$D$8:$D$42,ROW('03.Muestra'!$B$8:$B$42)-MIN(ROW('03.Muestra'!$D$8:$D$42))+1,""),ROW()-56)),"")</f>
        <v/>
      </c>
      <c r="B73" s="221" t="str" cm="1">
        <f t="array" ref="B73">IFERROR(INDEX('03.Muestra'!$C$8:$C$42,SMALL(IF("Página Web"='03.Muestra'!$D$8:$D$42,ROW('03.Muestra'!$C$8:$C$42)-MIN(ROW('03.Muestra'!$D$8:$D$42))+1,""),ROW()-56)),"")</f>
        <v/>
      </c>
      <c r="C73" s="221"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t="str" cm="1">
        <f t="array" ref="A74">IFERROR(INDEX('03.Muestra'!$B$8:$B$42,SMALL(IF("Página Web"='03.Muestra'!$D$8:$D$42,ROW('03.Muestra'!$B$8:$B$42)-MIN(ROW('03.Muestra'!$D$8:$D$42))+1,""),ROW()-56)),"")</f>
        <v/>
      </c>
      <c r="B74" s="221" t="str" cm="1">
        <f t="array" ref="B74">IFERROR(INDEX('03.Muestra'!$C$8:$C$42,SMALL(IF("Página Web"='03.Muestra'!$D$8:$D$42,ROW('03.Muestra'!$C$8:$C$42)-MIN(ROW('03.Muestra'!$D$8:$D$42))+1,""),ROW()-56)),"")</f>
        <v/>
      </c>
      <c r="C74" s="221" t="str" cm="1">
        <f t="array" ref="C74">IFERROR(INDEX('03.Muestra'!$F$8:$F$42,SMALL(IF("Página Web"='03.Muestra'!$D$8:$D$42,ROW('03.Muestra'!$F$8:$F$42)-MIN(ROW('03.Muestra'!$D$8:$D$42))+1,""),ROW()-56)),"")</f>
        <v/>
      </c>
      <c r="D74" s="130" t="str">
        <f t="shared" si="3"/>
        <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t="str" cm="1">
        <f t="array" ref="A75">IFERROR(INDEX('03.Muestra'!$B$8:$B$42,SMALL(IF("Página Web"='03.Muestra'!$D$8:$D$42,ROW('03.Muestra'!$B$8:$B$42)-MIN(ROW('03.Muestra'!$D$8:$D$42))+1,""),ROW()-56)),"")</f>
        <v/>
      </c>
      <c r="B75" s="221" t="str" cm="1">
        <f t="array" ref="B75">IFERROR(INDEX('03.Muestra'!$C$8:$C$42,SMALL(IF("Página Web"='03.Muestra'!$D$8:$D$42,ROW('03.Muestra'!$C$8:$C$42)-MIN(ROW('03.Muestra'!$D$8:$D$42))+1,""),ROW()-56)),"")</f>
        <v/>
      </c>
      <c r="C75" s="221" t="str" cm="1">
        <f t="array" ref="C75">IFERROR(INDEX('03.Muestra'!$F$8:$F$42,SMALL(IF("Página Web"='03.Muestra'!$D$8:$D$42,ROW('03.Muestra'!$F$8:$F$42)-MIN(ROW('03.Muestra'!$D$8:$D$42))+1,""),ROW()-56)),"")</f>
        <v/>
      </c>
      <c r="D75" s="130" t="str">
        <f t="shared" si="3"/>
        <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t="str" cm="1">
        <f t="array" ref="A76">IFERROR(INDEX('03.Muestra'!$B$8:$B$42,SMALL(IF("Página Web"='03.Muestra'!$D$8:$D$42,ROW('03.Muestra'!$B$8:$B$42)-MIN(ROW('03.Muestra'!$D$8:$D$42))+1,""),ROW()-56)),"")</f>
        <v/>
      </c>
      <c r="B76" s="221" t="str" cm="1">
        <f t="array" ref="B76">IFERROR(INDEX('03.Muestra'!$C$8:$C$42,SMALL(IF("Página Web"='03.Muestra'!$D$8:$D$42,ROW('03.Muestra'!$C$8:$C$42)-MIN(ROW('03.Muestra'!$D$8:$D$42))+1,""),ROW()-56)),"")</f>
        <v/>
      </c>
      <c r="C76" s="221" t="str" cm="1">
        <f t="array" ref="C76">IFERROR(INDEX('03.Muestra'!$F$8:$F$42,SMALL(IF("Página Web"='03.Muestra'!$D$8:$D$42,ROW('03.Muestra'!$F$8:$F$42)-MIN(ROW('03.Muestra'!$D$8:$D$42))+1,""),ROW()-56)),"")</f>
        <v/>
      </c>
      <c r="D76" s="130" t="str">
        <f t="shared" si="3"/>
        <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si="3"/>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268</v>
      </c>
      <c r="B94" s="24" t="s">
        <v>90</v>
      </c>
      <c r="C94" s="25" t="s">
        <v>250</v>
      </c>
      <c r="D94" s="26" t="s">
        <v>32</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https://www.comunidad.madrid/hospital/clinicosancarlos/</v>
      </c>
      <c r="D95" s="130" t="s">
        <v>35</v>
      </c>
      <c r="E95" s="107" t="str">
        <f t="shared" ref="E95:E129" si="4">IF(D95&lt;&gt;"",IF(AND(B95&lt;&gt;"",C95&lt;&gt;""),"","ERR"),"")</f>
        <v/>
      </c>
      <c r="F95" s="115" t="s">
        <v>33</v>
      </c>
      <c r="G95" s="116" t="s">
        <v>37</v>
      </c>
      <c r="H95" s="117" t="s">
        <v>35</v>
      </c>
      <c r="I95" s="118" t="s">
        <v>28</v>
      </c>
      <c r="J95" s="119" t="s">
        <v>26</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Ciudadanos</v>
      </c>
      <c r="C96" s="221" t="str" cm="1">
        <f t="array" ref="C96">IFERROR(INDEX('03.Muestra'!$F$8:$F$42,SMALL(IF("Página Web"='03.Muestra'!$D$8:$D$42,ROW('03.Muestra'!$F$8:$F$42)-MIN(ROW('03.Muestra'!$D$8:$D$42))+1,""),ROW()-94)),"")</f>
        <v>https://www.comunidad.madrid/hospital/clinicosancarlos/ciudadanos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Consultas externas</v>
      </c>
      <c r="C97" s="221" t="str" cm="1">
        <f t="array" ref="C97">IFERROR(INDEX('03.Muestra'!$F$8:$F$42,SMALL(IF("Página Web"='03.Muestra'!$D$8:$D$42,ROW('03.Muestra'!$F$8:$F$42)-MIN(ROW('03.Muestra'!$D$8:$D$42))+1,""),ROW()-94)),"")</f>
        <v>https://www.comunidad.madrid/hospital/clinicosancarlos/ciudadanos/consultas-externas</v>
      </c>
      <c r="D97" s="130" t="s">
        <v>35</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Donación</v>
      </c>
      <c r="C98" s="221" t="str" cm="1">
        <f t="array" ref="C98">IFERROR(INDEX('03.Muestra'!$F$8:$F$42,SMALL(IF("Página Web"='03.Muestra'!$D$8:$D$42,ROW('03.Muestra'!$F$8:$F$42)-MIN(ROW('03.Muestra'!$D$8:$D$42))+1,""),ROW()-94)),"")</f>
        <v>https://www.comunidad.madrid/hospital/clinicosancarlos/ciudadanos/donacion-0</v>
      </c>
      <c r="D98" s="130" t="s">
        <v>35</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Profesionales</v>
      </c>
      <c r="C99" s="221" t="str" cm="1">
        <f t="array" ref="C99">IFERROR(INDEX('03.Muestra'!$F$8:$F$42,SMALL(IF("Página Web"='03.Muestra'!$D$8:$D$42,ROW('03.Muestra'!$F$8:$F$42)-MIN(ROW('03.Muestra'!$D$8:$D$42))+1,""),ROW()-94)),"")</f>
        <v>https://www.comunidad.madrid/hospital/clinicosancarlos/profesionales</v>
      </c>
      <c r="D99" s="130" t="s">
        <v>35</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Docencia</v>
      </c>
      <c r="C100" s="221" t="str" cm="1">
        <f t="array" ref="C100">IFERROR(INDEX('03.Muestra'!$F$8:$F$42,SMALL(IF("Página Web"='03.Muestra'!$D$8:$D$42,ROW('03.Muestra'!$F$8:$F$42)-MIN(ROW('03.Muestra'!$D$8:$D$42))+1,""),ROW()-94)),"")</f>
        <v>https://www.comunidad.madrid/hospital/clinicosancarlos/profesionales/docencia</v>
      </c>
      <c r="D100" s="130" t="s">
        <v>35</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Referencia</v>
      </c>
      <c r="C101" s="221" t="str" cm="1">
        <f t="array" ref="C101">IFERROR(INDEX('03.Muestra'!$F$8:$F$42,SMALL(IF("Página Web"='03.Muestra'!$D$8:$D$42,ROW('03.Muestra'!$F$8:$F$42)-MIN(ROW('03.Muestra'!$D$8:$D$42))+1,""),ROW()-94)),"")</f>
        <v>https://www.comunidad.madrid/hospital/clinicosancarlos/profesionales/unidades-referencia-nacional-redes-europeas</v>
      </c>
      <c r="D101" s="130" t="s">
        <v>35</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Comunicación</v>
      </c>
      <c r="C102" s="221" t="str" cm="1">
        <f t="array" ref="C102">IFERROR(INDEX('03.Muestra'!$F$8:$F$42,SMALL(IF("Página Web"='03.Muestra'!$D$8:$D$42,ROW('03.Muestra'!$F$8:$F$42)-MIN(ROW('03.Muestra'!$D$8:$D$42))+1,""),ROW()-94)),"")</f>
        <v>https://www.comunidad.madrid/hospital/clinicosancarlos/comunicacion</v>
      </c>
      <c r="D102" s="130" t="s">
        <v>35</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Videoteca</v>
      </c>
      <c r="C103" s="221" t="str" cm="1">
        <f t="array" ref="C103">IFERROR(INDEX('03.Muestra'!$F$8:$F$42,SMALL(IF("Página Web"='03.Muestra'!$D$8:$D$42,ROW('03.Muestra'!$F$8:$F$42)-MIN(ROW('03.Muestra'!$D$8:$D$42))+1,""),ROW()-94)),"")</f>
        <v>https://www.comunidad.madrid/hospital/clinicosancarlos/comunicacion/videoteca</v>
      </c>
      <c r="D103" s="130" t="s">
        <v>35</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Noticias</v>
      </c>
      <c r="C104" s="221" t="str" cm="1">
        <f t="array" ref="C104">IFERROR(INDEX('03.Muestra'!$F$8:$F$42,SMALL(IF("Página Web"='03.Muestra'!$D$8:$D$42,ROW('03.Muestra'!$F$8:$F$42)-MIN(ROW('03.Muestra'!$D$8:$D$42))+1,""),ROW()-94)),"")</f>
        <v>https://www.comunidad.madrid/hospital/clinicosancarlos/comunicacion/noticias</v>
      </c>
      <c r="D104" s="130" t="s">
        <v>35</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Nosotros</v>
      </c>
      <c r="C105" s="221" t="str" cm="1">
        <f t="array" ref="C105">IFERROR(INDEX('03.Muestra'!$F$8:$F$42,SMALL(IF("Página Web"='03.Muestra'!$D$8:$D$42,ROW('03.Muestra'!$F$8:$F$42)-MIN(ROW('03.Muestra'!$D$8:$D$42))+1,""),ROW()-94)),"")</f>
        <v>https://www.comunidad.madrid/hospital/clinicosancarlos/nosotros</v>
      </c>
      <c r="D105" s="130" t="s">
        <v>35</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Gestión Ambiental</v>
      </c>
      <c r="C106" s="221" t="str" cm="1">
        <f t="array" ref="C106">IFERROR(INDEX('03.Muestra'!$F$8:$F$42,SMALL(IF("Página Web"='03.Muestra'!$D$8:$D$42,ROW('03.Muestra'!$F$8:$F$42)-MIN(ROW('03.Muestra'!$D$8:$D$42))+1,""),ROW()-94)),"")</f>
        <v>https://www.comunidad.madrid/hospital/clinicosancarlos/nosotros/gestion-ambiental</v>
      </c>
      <c r="D106" s="130" t="s">
        <v>35</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Proveedores</v>
      </c>
      <c r="C107" s="221" t="str" cm="1">
        <f t="array" ref="C107">IFERROR(INDEX('03.Muestra'!$F$8:$F$42,SMALL(IF("Página Web"='03.Muestra'!$D$8:$D$42,ROW('03.Muestra'!$F$8:$F$42)-MIN(ROW('03.Muestra'!$D$8:$D$42))+1,""),ROW()-94)),"")</f>
        <v>https://www.comunidad.madrid/hospital/clinicosancarlos/nosotros/proveedores-0</v>
      </c>
      <c r="D107" s="130" t="s">
        <v>35</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Aviso legal</v>
      </c>
      <c r="C108" s="221" t="str" cm="1">
        <f t="array" ref="C108">IFERROR(INDEX('03.Muestra'!$F$8:$F$42,SMALL(IF("Página Web"='03.Muestra'!$D$8:$D$42,ROW('03.Muestra'!$F$8:$F$42)-MIN(ROW('03.Muestra'!$D$8:$D$42))+1,""),ROW()-94)),"")</f>
        <v>https://www.comunidad.madrid/hospital/clinicosancarlos/aviso-legal-privacidad</v>
      </c>
      <c r="D108" s="130" t="s">
        <v>35</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Mapa web</v>
      </c>
      <c r="C109" s="221" t="str" cm="1">
        <f t="array" ref="C109">IFERROR(INDEX('03.Muestra'!$F$8:$F$42,SMALL(IF("Página Web"='03.Muestra'!$D$8:$D$42,ROW('03.Muestra'!$F$8:$F$42)-MIN(ROW('03.Muestra'!$D$8:$D$42))+1,""),ROW()-94)),"")</f>
        <v>https://www.comunidad.madrid/hospital/clinicosancarlos/sitemap</v>
      </c>
      <c r="D109" s="130" t="s">
        <v>35</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Accesibilidad</v>
      </c>
      <c r="C110" s="221" t="str" cm="1">
        <f t="array" ref="C110">IFERROR(INDEX('03.Muestra'!$F$8:$F$42,SMALL(IF("Página Web"='03.Muestra'!$D$8:$D$42,ROW('03.Muestra'!$F$8:$F$42)-MIN(ROW('03.Muestra'!$D$8:$D$42))+1,""),ROW()-94)),"")</f>
        <v>https://www.comunidad.madrid/hospital/clinicosancarlos/declaracion-accesibilidad</v>
      </c>
      <c r="D110" s="130" t="s">
        <v>35</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t="str" cm="1">
        <f t="array" ref="A111">IFERROR(INDEX('03.Muestra'!$B$8:$B$42,SMALL(IF("Página Web"='03.Muestra'!$D$8:$D$42,ROW('03.Muestra'!$B$8:$B$42)-MIN(ROW('03.Muestra'!$D$8:$D$42))+1,""),ROW()-94)),"")</f>
        <v/>
      </c>
      <c r="B111" s="221" t="str" cm="1">
        <f t="array" ref="B111">IFERROR(INDEX('03.Muestra'!$C$8:$C$42,SMALL(IF("Página Web"='03.Muestra'!$D$8:$D$42,ROW('03.Muestra'!$C$8:$C$42)-MIN(ROW('03.Muestra'!$D$8:$D$42))+1,""),ROW()-94)),"")</f>
        <v/>
      </c>
      <c r="C111" s="221"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t="str" cm="1">
        <f t="array" ref="A112">IFERROR(INDEX('03.Muestra'!$B$8:$B$42,SMALL(IF("Página Web"='03.Muestra'!$D$8:$D$42,ROW('03.Muestra'!$B$8:$B$42)-MIN(ROW('03.Muestra'!$D$8:$D$42))+1,""),ROW()-94)),"")</f>
        <v/>
      </c>
      <c r="B112" s="221" t="str" cm="1">
        <f t="array" ref="B112">IFERROR(INDEX('03.Muestra'!$C$8:$C$42,SMALL(IF("Página Web"='03.Muestra'!$D$8:$D$42,ROW('03.Muestra'!$C$8:$C$42)-MIN(ROW('03.Muestra'!$D$8:$D$42))+1,""),ROW()-94)),"")</f>
        <v/>
      </c>
      <c r="C112" s="221" t="str" cm="1">
        <f t="array" ref="C112">IFERROR(INDEX('03.Muestra'!$F$8:$F$42,SMALL(IF("Página Web"='03.Muestra'!$D$8:$D$42,ROW('03.Muestra'!$F$8:$F$42)-MIN(ROW('03.Muestra'!$D$8:$D$42))+1,""),ROW()-94)),"")</f>
        <v/>
      </c>
      <c r="D112" s="130" t="str">
        <f t="shared" si="5"/>
        <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t="str" cm="1">
        <f t="array" ref="A113">IFERROR(INDEX('03.Muestra'!$B$8:$B$42,SMALL(IF("Página Web"='03.Muestra'!$D$8:$D$42,ROW('03.Muestra'!$B$8:$B$42)-MIN(ROW('03.Muestra'!$D$8:$D$42))+1,""),ROW()-94)),"")</f>
        <v/>
      </c>
      <c r="B113" s="221" t="str" cm="1">
        <f t="array" ref="B113">IFERROR(INDEX('03.Muestra'!$C$8:$C$42,SMALL(IF("Página Web"='03.Muestra'!$D$8:$D$42,ROW('03.Muestra'!$C$8:$C$42)-MIN(ROW('03.Muestra'!$D$8:$D$42))+1,""),ROW()-94)),"")</f>
        <v/>
      </c>
      <c r="C113" s="221" t="str" cm="1">
        <f t="array" ref="C113">IFERROR(INDEX('03.Muestra'!$F$8:$F$42,SMALL(IF("Página Web"='03.Muestra'!$D$8:$D$42,ROW('03.Muestra'!$F$8:$F$42)-MIN(ROW('03.Muestra'!$D$8:$D$42))+1,""),ROW()-94)),"")</f>
        <v/>
      </c>
      <c r="D113" s="130" t="str">
        <f t="shared" si="5"/>
        <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t="str" cm="1">
        <f t="array" ref="A114">IFERROR(INDEX('03.Muestra'!$B$8:$B$42,SMALL(IF("Página Web"='03.Muestra'!$D$8:$D$42,ROW('03.Muestra'!$B$8:$B$42)-MIN(ROW('03.Muestra'!$D$8:$D$42))+1,""),ROW()-94)),"")</f>
        <v/>
      </c>
      <c r="B114" s="221" t="str" cm="1">
        <f t="array" ref="B114">IFERROR(INDEX('03.Muestra'!$C$8:$C$42,SMALL(IF("Página Web"='03.Muestra'!$D$8:$D$42,ROW('03.Muestra'!$C$8:$C$42)-MIN(ROW('03.Muestra'!$D$8:$D$42))+1,""),ROW()-94)),"")</f>
        <v/>
      </c>
      <c r="C114" s="221" t="str" cm="1">
        <f t="array" ref="C114">IFERROR(INDEX('03.Muestra'!$F$8:$F$42,SMALL(IF("Página Web"='03.Muestra'!$D$8:$D$42,ROW('03.Muestra'!$F$8:$F$42)-MIN(ROW('03.Muestra'!$D$8:$D$42))+1,""),ROW()-94)),"")</f>
        <v/>
      </c>
      <c r="D114" s="130" t="str">
        <f t="shared" si="5"/>
        <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si="5"/>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E57:E91 E95:E129 E19:E53">
    <cfRule type="cellIs" dxfId="1662" priority="154" stopIfTrue="1" operator="equal">
      <formula>"ERR"</formula>
    </cfRule>
  </conditionalFormatting>
  <conditionalFormatting sqref="F19:J19 F57:J57 F95:J95 D19:D53 D57:D91 D95:D129">
    <cfRule type="expression" dxfId="1661" priority="148" stopIfTrue="1">
      <formula>ISBLANK(D19)</formula>
    </cfRule>
    <cfRule type="cellIs" dxfId="1660" priority="149" stopIfTrue="1" operator="equal">
      <formula>"Pasa"</formula>
    </cfRule>
    <cfRule type="cellIs" dxfId="1659" priority="150" stopIfTrue="1" operator="equal">
      <formula>"Falla"</formula>
    </cfRule>
    <cfRule type="cellIs" dxfId="1658" priority="151" stopIfTrue="1" operator="equal">
      <formula>"N/A"</formula>
    </cfRule>
    <cfRule type="cellIs" dxfId="1657" priority="152" stopIfTrue="1" operator="equal">
      <formula>"N/T"</formula>
    </cfRule>
    <cfRule type="cellIs" dxfId="1656" priority="153" stopIfTrue="1" operator="equal">
      <formula>"N/D"</formula>
    </cfRule>
  </conditionalFormatting>
  <conditionalFormatting sqref="D1:D8 D10:D1048576">
    <cfRule type="cellIs" dxfId="1655" priority="20" stopIfTrue="1" operator="equal">
      <formula>"-"</formula>
    </cfRule>
  </conditionalFormatting>
  <conditionalFormatting sqref="K23">
    <cfRule type="expression" dxfId="1654" priority="7" stopIfTrue="1">
      <formula>ISBLANK(K23)</formula>
    </cfRule>
    <cfRule type="cellIs" dxfId="1653" priority="8" stopIfTrue="1" operator="equal">
      <formula>"Pasa"</formula>
    </cfRule>
    <cfRule type="cellIs" dxfId="1652" priority="9" stopIfTrue="1" operator="equal">
      <formula>"Falla"</formula>
    </cfRule>
    <cfRule type="cellIs" dxfId="1651" priority="10" stopIfTrue="1" operator="equal">
      <formula>"N/A"</formula>
    </cfRule>
    <cfRule type="cellIs" dxfId="1650" priority="11" stopIfTrue="1" operator="equal">
      <formula>"N/T"</formula>
    </cfRule>
    <cfRule type="cellIs" dxfId="1649" priority="12" stopIfTrue="1" operator="equal">
      <formula>"N/D"</formula>
    </cfRule>
  </conditionalFormatting>
  <conditionalFormatting sqref="K24">
    <cfRule type="expression" dxfId="1648" priority="1" stopIfTrue="1">
      <formula>ISBLANK(K24)</formula>
    </cfRule>
    <cfRule type="cellIs" dxfId="1647" priority="2" stopIfTrue="1" operator="equal">
      <formula>"Pasa"</formula>
    </cfRule>
    <cfRule type="cellIs" dxfId="1646" priority="3" stopIfTrue="1" operator="equal">
      <formula>"Falla"</formula>
    </cfRule>
    <cfRule type="cellIs" dxfId="1645" priority="4" stopIfTrue="1" operator="equal">
      <formula>"N/A"</formula>
    </cfRule>
    <cfRule type="cellIs" dxfId="1644" priority="5" stopIfTrue="1" operator="equal">
      <formula>"N/T"</formula>
    </cfRule>
    <cfRule type="cellIs" dxfId="1643"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L746"/>
  <sheetViews>
    <sheetView zoomScale="77" zoomScaleNormal="77"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COUNTIF($B$18:$B$4418,B12)</f>
        <v>19</v>
      </c>
      <c r="D12" s="28"/>
      <c r="E12" s="14"/>
      <c r="F12" s="62" t="s">
        <v>26</v>
      </c>
      <c r="G12" s="61">
        <f ca="1">J20+J58+J96+J134+J172+J210+J248+J286+J324+J362+J400+J438+J476+J514+J552+J590+J628+J666+J704</f>
        <v>0</v>
      </c>
      <c r="H12" s="53">
        <f ca="1">IF(($G$15+$K$15)=0,0,G12/($G$15+$K$15))</f>
        <v>0</v>
      </c>
      <c r="I12" s="28"/>
      <c r="J12" s="60" t="s">
        <v>27</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f>
        <v>0</v>
      </c>
      <c r="H13" s="53">
        <f ca="1">IF(($G$15+$K$15)=0,0,G13/($G$15+$K$15))</f>
        <v>0</v>
      </c>
      <c r="I13" s="28"/>
      <c r="J13" s="60" t="s">
        <v>29</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30</v>
      </c>
      <c r="C14" s="59">
        <f>C12+C13</f>
        <v>19</v>
      </c>
      <c r="D14" s="28"/>
      <c r="E14" s="14"/>
      <c r="F14" s="62" t="s">
        <v>31</v>
      </c>
      <c r="G14" s="61">
        <f ca="1">H20+H58+H96+H134+H172+H210+H248+H286+H324+H362+H400+H438+H476+H514+H552+H590+H628+H666+H704</f>
        <v>304</v>
      </c>
      <c r="H14" s="53">
        <f ca="1">IF(($G$15+$K$15)=0,0,G14/($G$15+$K$15))</f>
        <v>1</v>
      </c>
      <c r="I14" s="28"/>
      <c r="J14" s="224" t="s">
        <v>474</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304</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https://www.comunidad.madrid/hospital/clinicosancarlos/</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https://www.comunidad.madrid/hospital/clinicosancarlos/ciudadanos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Consultas externas</v>
      </c>
      <c r="C21" s="114" t="str" cm="1">
        <f t="array" ref="C21">IFERROR(INDEX('03.Muestra'!$F$8:$F$42,SMALL(IF("Página Web"='03.Muestra'!$D$8:$D$42,ROW('03.Muestra'!$F$8:$F$42)-MIN(ROW('03.Muestra'!$D$8:$D$42))+1,""),ROW()-18)),"")</f>
        <v>https://www.comunidad.madrid/hospital/clinicosancarlos/ciudadanos/consultas-externas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Donación</v>
      </c>
      <c r="C22" s="114" t="str" cm="1">
        <f t="array" ref="C22">IFERROR(INDEX('03.Muestra'!$F$8:$F$42,SMALL(IF("Página Web"='03.Muestra'!$D$8:$D$42,ROW('03.Muestra'!$F$8:$F$42)-MIN(ROW('03.Muestra'!$D$8:$D$42))+1,""),ROW()-18)),"")</f>
        <v>https://www.comunidad.madrid/hospital/clinicosancarlos/ciudadanos/donacion-0</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https://www.comunidad.madrid/hospital/clinicosancarlos/profesionales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Docencia</v>
      </c>
      <c r="C24" s="114" t="str" cm="1">
        <f t="array" ref="C24">IFERROR(INDEX('03.Muestra'!$F$8:$F$42,SMALL(IF("Página Web"='03.Muestra'!$D$8:$D$42,ROW('03.Muestra'!$F$8:$F$42)-MIN(ROW('03.Muestra'!$D$8:$D$42))+1,""),ROW()-18)),"")</f>
        <v>https://www.comunidad.madrid/hospital/clinicosancarlos/profesionales/docencia</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Referencia</v>
      </c>
      <c r="C25" s="114" t="str" cm="1">
        <f t="array" ref="C25">IFERROR(INDEX('03.Muestra'!$F$8:$F$42,SMALL(IF("Página Web"='03.Muestra'!$D$8:$D$42,ROW('03.Muestra'!$F$8:$F$42)-MIN(ROW('03.Muestra'!$D$8:$D$42))+1,""),ROW()-18)),"")</f>
        <v>https://www.comunidad.madrid/hospital/clinicosancarlos/profesionales/unidades-referencia-nacional-redes-europeas</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Comunicación</v>
      </c>
      <c r="C26" s="114" t="str" cm="1">
        <f t="array" ref="C26">IFERROR(INDEX('03.Muestra'!$F$8:$F$42,SMALL(IF("Página Web"='03.Muestra'!$D$8:$D$42,ROW('03.Muestra'!$F$8:$F$42)-MIN(ROW('03.Muestra'!$D$8:$D$42))+1,""),ROW()-18)),"")</f>
        <v>https://www.comunidad.madrid/hospital/clinicosancarlos/comunicacion</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Videoteca</v>
      </c>
      <c r="C27" s="114" t="str" cm="1">
        <f t="array" ref="C27">IFERROR(INDEX('03.Muestra'!$F$8:$F$42,SMALL(IF("Página Web"='03.Muestra'!$D$8:$D$42,ROW('03.Muestra'!$F$8:$F$42)-MIN(ROW('03.Muestra'!$D$8:$D$42))+1,""),ROW()-18)),"")</f>
        <v>https://www.comunidad.madrid/hospital/clinicosancarlos/comunicacion/videoteca</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Noticias</v>
      </c>
      <c r="C28" s="114" t="str" cm="1">
        <f t="array" ref="C28">IFERROR(INDEX('03.Muestra'!$F$8:$F$42,SMALL(IF("Página Web"='03.Muestra'!$D$8:$D$42,ROW('03.Muestra'!$F$8:$F$42)-MIN(ROW('03.Muestra'!$D$8:$D$42))+1,""),ROW()-18)),"")</f>
        <v>https://www.comunidad.madrid/hospital/clinicosancarlos/comunicacion/noticias</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Nosotros</v>
      </c>
      <c r="C29" s="114" t="str" cm="1">
        <f t="array" ref="C29">IFERROR(INDEX('03.Muestra'!$F$8:$F$42,SMALL(IF("Página Web"='03.Muestra'!$D$8:$D$42,ROW('03.Muestra'!$F$8:$F$42)-MIN(ROW('03.Muestra'!$D$8:$D$42))+1,""),ROW()-18)),"")</f>
        <v>https://www.comunidad.madrid/hospital/clinicosancarlos/nosotros</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Gestión Ambiental</v>
      </c>
      <c r="C30" s="114" t="str" cm="1">
        <f t="array" ref="C30">IFERROR(INDEX('03.Muestra'!$F$8:$F$42,SMALL(IF("Página Web"='03.Muestra'!$D$8:$D$42,ROW('03.Muestra'!$F$8:$F$42)-MIN(ROW('03.Muestra'!$D$8:$D$42))+1,""),ROW()-18)),"")</f>
        <v>https://www.comunidad.madrid/hospital/clinicosancarlos/nosotros/gestion-ambiental</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Proveedores</v>
      </c>
      <c r="C31" s="114" t="str" cm="1">
        <f t="array" ref="C31">IFERROR(INDEX('03.Muestra'!$F$8:$F$42,SMALL(IF("Página Web"='03.Muestra'!$D$8:$D$42,ROW('03.Muestra'!$F$8:$F$42)-MIN(ROW('03.Muestra'!$D$8:$D$42))+1,""),ROW()-18)),"")</f>
        <v>https://www.comunidad.madrid/hospital/clinicosancarlos/nosotros/proveedores-0</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Aviso legal</v>
      </c>
      <c r="C32" s="114" t="str" cm="1">
        <f t="array" ref="C32">IFERROR(INDEX('03.Muestra'!$F$8:$F$42,SMALL(IF("Página Web"='03.Muestra'!$D$8:$D$42,ROW('03.Muestra'!$F$8:$F$42)-MIN(ROW('03.Muestra'!$D$8:$D$42))+1,""),ROW()-18)),"")</f>
        <v>https://www.comunidad.madrid/hospital/clinicosancarlos/aviso-legal-privacidad</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Mapa web</v>
      </c>
      <c r="C33" s="114" t="str" cm="1">
        <f t="array" ref="C33">IFERROR(INDEX('03.Muestra'!$F$8:$F$42,SMALL(IF("Página Web"='03.Muestra'!$D$8:$D$42,ROW('03.Muestra'!$F$8:$F$42)-MIN(ROW('03.Muestra'!$D$8:$D$42))+1,""),ROW()-18)),"")</f>
        <v>https://www.comunidad.madrid/hospital/clinicosancarlos/sitemap</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Accesibilidad</v>
      </c>
      <c r="C34" s="114" t="str" cm="1">
        <f t="array" ref="C34">IFERROR(INDEX('03.Muestra'!$F$8:$F$42,SMALL(IF("Página Web"='03.Muestra'!$D$8:$D$42,ROW('03.Muestra'!$F$8:$F$42)-MIN(ROW('03.Muestra'!$D$8:$D$42))+1,""),ROW()-18)),"")</f>
        <v>https://www.comunidad.madrid/hospital/clinicosancarlos/declaracion-accesibilidad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352</v>
      </c>
      <c r="D56" s="26" t="s">
        <v>32</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https://www.comunidad.madrid/hospital/clinicosancarlos/</v>
      </c>
      <c r="D57" s="130" t="s">
        <v>35</v>
      </c>
      <c r="E57" s="107" t="str">
        <f t="shared" ref="E57:E91" si="2">IF(D57&lt;&gt;"",IF(AND(B57&lt;&gt;"",C57&lt;&gt;""),"","ERR"),"")</f>
        <v/>
      </c>
      <c r="F57" s="115" t="s">
        <v>33</v>
      </c>
      <c r="G57" s="116" t="s">
        <v>37</v>
      </c>
      <c r="H57" s="117" t="s">
        <v>35</v>
      </c>
      <c r="I57" s="118" t="s">
        <v>28</v>
      </c>
      <c r="J57" s="119" t="s">
        <v>26</v>
      </c>
      <c r="K57" s="229"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https://www.comunidad.madrid/hospital/clinicosancarlos/ciudadanos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Consultas externas</v>
      </c>
      <c r="C59" s="114" t="str" cm="1">
        <f t="array" ref="C59">IFERROR(INDEX('03.Muestra'!$F$8:$F$42,SMALL(IF("Página Web"='03.Muestra'!$D$8:$D$42,ROW('03.Muestra'!$F$8:$F$42)-MIN(ROW('03.Muestra'!$D$8:$D$42))+1,""),ROW()-56)),"")</f>
        <v>https://www.comunidad.madrid/hospital/clinicosancarlos/ciudadanos/consultas-externas</v>
      </c>
      <c r="D59" s="130" t="s">
        <v>35</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Donación</v>
      </c>
      <c r="C60" s="114" t="str" cm="1">
        <f t="array" ref="C60">IFERROR(INDEX('03.Muestra'!$F$8:$F$42,SMALL(IF("Página Web"='03.Muestra'!$D$8:$D$42,ROW('03.Muestra'!$F$8:$F$42)-MIN(ROW('03.Muestra'!$D$8:$D$42))+1,""),ROW()-56)),"")</f>
        <v>https://www.comunidad.madrid/hospital/clinicosancarlos/ciudadanos/donacion-0</v>
      </c>
      <c r="D60" s="130" t="s">
        <v>35</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https://www.comunidad.madrid/hospital/clinicosancarlos/profesionales</v>
      </c>
      <c r="D61" s="130" t="s">
        <v>35</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Docencia</v>
      </c>
      <c r="C62" s="114" t="str" cm="1">
        <f t="array" ref="C62">IFERROR(INDEX('03.Muestra'!$F$8:$F$42,SMALL(IF("Página Web"='03.Muestra'!$D$8:$D$42,ROW('03.Muestra'!$F$8:$F$42)-MIN(ROW('03.Muestra'!$D$8:$D$42))+1,""),ROW()-56)),"")</f>
        <v>https://www.comunidad.madrid/hospital/clinicosancarlos/profesionales/docencia</v>
      </c>
      <c r="D62" s="130" t="s">
        <v>35</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Referencia</v>
      </c>
      <c r="C63" s="114" t="str" cm="1">
        <f t="array" ref="C63">IFERROR(INDEX('03.Muestra'!$F$8:$F$42,SMALL(IF("Página Web"='03.Muestra'!$D$8:$D$42,ROW('03.Muestra'!$F$8:$F$42)-MIN(ROW('03.Muestra'!$D$8:$D$42))+1,""),ROW()-56)),"")</f>
        <v>https://www.comunidad.madrid/hospital/clinicosancarlos/profesionales/unidades-referencia-nacional-redes-europeas</v>
      </c>
      <c r="D63" s="130" t="s">
        <v>35</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Comunicación</v>
      </c>
      <c r="C64" s="114" t="str" cm="1">
        <f t="array" ref="C64">IFERROR(INDEX('03.Muestra'!$F$8:$F$42,SMALL(IF("Página Web"='03.Muestra'!$D$8:$D$42,ROW('03.Muestra'!$F$8:$F$42)-MIN(ROW('03.Muestra'!$D$8:$D$42))+1,""),ROW()-56)),"")</f>
        <v>https://www.comunidad.madrid/hospital/clinicosancarlos/comunicacion</v>
      </c>
      <c r="D64" s="130" t="s">
        <v>35</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Videoteca</v>
      </c>
      <c r="C65" s="114" t="str" cm="1">
        <f t="array" ref="C65">IFERROR(INDEX('03.Muestra'!$F$8:$F$42,SMALL(IF("Página Web"='03.Muestra'!$D$8:$D$42,ROW('03.Muestra'!$F$8:$F$42)-MIN(ROW('03.Muestra'!$D$8:$D$42))+1,""),ROW()-56)),"")</f>
        <v>https://www.comunidad.madrid/hospital/clinicosancarlos/comunicacion/videoteca</v>
      </c>
      <c r="D65" s="130" t="s">
        <v>35</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Noticias</v>
      </c>
      <c r="C66" s="114" t="str" cm="1">
        <f t="array" ref="C66">IFERROR(INDEX('03.Muestra'!$F$8:$F$42,SMALL(IF("Página Web"='03.Muestra'!$D$8:$D$42,ROW('03.Muestra'!$F$8:$F$42)-MIN(ROW('03.Muestra'!$D$8:$D$42))+1,""),ROW()-56)),"")</f>
        <v>https://www.comunidad.madrid/hospital/clinicosancarlos/comunicacion/noticias</v>
      </c>
      <c r="D66" s="130" t="s">
        <v>35</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Nosotros</v>
      </c>
      <c r="C67" s="114" t="str" cm="1">
        <f t="array" ref="C67">IFERROR(INDEX('03.Muestra'!$F$8:$F$42,SMALL(IF("Página Web"='03.Muestra'!$D$8:$D$42,ROW('03.Muestra'!$F$8:$F$42)-MIN(ROW('03.Muestra'!$D$8:$D$42))+1,""),ROW()-56)),"")</f>
        <v>https://www.comunidad.madrid/hospital/clinicosancarlos/nosotros</v>
      </c>
      <c r="D67" s="130" t="s">
        <v>35</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Gestión Ambiental</v>
      </c>
      <c r="C68" s="114" t="str" cm="1">
        <f t="array" ref="C68">IFERROR(INDEX('03.Muestra'!$F$8:$F$42,SMALL(IF("Página Web"='03.Muestra'!$D$8:$D$42,ROW('03.Muestra'!$F$8:$F$42)-MIN(ROW('03.Muestra'!$D$8:$D$42))+1,""),ROW()-56)),"")</f>
        <v>https://www.comunidad.madrid/hospital/clinicosancarlos/nosotros/gestion-ambiental</v>
      </c>
      <c r="D68" s="130" t="s">
        <v>35</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Proveedores</v>
      </c>
      <c r="C69" s="114" t="str" cm="1">
        <f t="array" ref="C69">IFERROR(INDEX('03.Muestra'!$F$8:$F$42,SMALL(IF("Página Web"='03.Muestra'!$D$8:$D$42,ROW('03.Muestra'!$F$8:$F$42)-MIN(ROW('03.Muestra'!$D$8:$D$42))+1,""),ROW()-56)),"")</f>
        <v>https://www.comunidad.madrid/hospital/clinicosancarlos/nosotros/proveedores-0</v>
      </c>
      <c r="D69" s="130" t="s">
        <v>35</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Aviso legal</v>
      </c>
      <c r="C70" s="114" t="str" cm="1">
        <f t="array" ref="C70">IFERROR(INDEX('03.Muestra'!$F$8:$F$42,SMALL(IF("Página Web"='03.Muestra'!$D$8:$D$42,ROW('03.Muestra'!$F$8:$F$42)-MIN(ROW('03.Muestra'!$D$8:$D$42))+1,""),ROW()-56)),"")</f>
        <v>https://www.comunidad.madrid/hospital/clinicosancarlos/aviso-legal-privacidad</v>
      </c>
      <c r="D70" s="130" t="s">
        <v>35</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Mapa web</v>
      </c>
      <c r="C71" s="114" t="str" cm="1">
        <f t="array" ref="C71">IFERROR(INDEX('03.Muestra'!$F$8:$F$42,SMALL(IF("Página Web"='03.Muestra'!$D$8:$D$42,ROW('03.Muestra'!$F$8:$F$42)-MIN(ROW('03.Muestra'!$D$8:$D$42))+1,""),ROW()-56)),"")</f>
        <v>https://www.comunidad.madrid/hospital/clinicosancarlos/sitemap</v>
      </c>
      <c r="D71" s="130" t="s">
        <v>35</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Accesibilidad</v>
      </c>
      <c r="C72" s="114" t="str" cm="1">
        <f t="array" ref="C72">IFERROR(INDEX('03.Muestra'!$F$8:$F$42,SMALL(IF("Página Web"='03.Muestra'!$D$8:$D$42,ROW('03.Muestra'!$F$8:$F$42)-MIN(ROW('03.Muestra'!$D$8:$D$42))+1,""),ROW()-56)),"")</f>
        <v>https://www.comunidad.madrid/hospital/clinicosancarlos/declaracion-accesibilidad</v>
      </c>
      <c r="D72" s="130" t="s">
        <v>35</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268</v>
      </c>
      <c r="B94" s="24" t="s">
        <v>90</v>
      </c>
      <c r="C94" s="25" t="s">
        <v>353</v>
      </c>
      <c r="D94" s="26" t="s">
        <v>32</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https://www.comunidad.madrid/hospital/clinicosancarlos/</v>
      </c>
      <c r="D95" s="130" t="s">
        <v>35</v>
      </c>
      <c r="E95" s="107" t="str">
        <f t="shared" ref="E95:E129" si="4">IF(D95&lt;&gt;"",IF(AND(B95&lt;&gt;"",C95&lt;&gt;""),"","ERR"),"")</f>
        <v/>
      </c>
      <c r="F95" s="115" t="s">
        <v>33</v>
      </c>
      <c r="G95" s="116" t="s">
        <v>37</v>
      </c>
      <c r="H95" s="117" t="s">
        <v>35</v>
      </c>
      <c r="I95" s="118" t="s">
        <v>28</v>
      </c>
      <c r="J95" s="119" t="s">
        <v>26</v>
      </c>
      <c r="K95" s="229" t="s">
        <v>474</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https://www.comunidad.madrid/hospital/clinicosancarlos/ciudadanos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Consultas externas</v>
      </c>
      <c r="C97" s="114" t="str" cm="1">
        <f t="array" ref="C97">IFERROR(INDEX('03.Muestra'!$F$8:$F$42,SMALL(IF("Página Web"='03.Muestra'!$D$8:$D$42,ROW('03.Muestra'!$F$8:$F$42)-MIN(ROW('03.Muestra'!$D$8:$D$42))+1,""),ROW()-94)),"")</f>
        <v>https://www.comunidad.madrid/hospital/clinicosancarlos/ciudadanos/consultas-externas</v>
      </c>
      <c r="D97" s="130" t="s">
        <v>35</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Donación</v>
      </c>
      <c r="C98" s="114" t="str" cm="1">
        <f t="array" ref="C98">IFERROR(INDEX('03.Muestra'!$F$8:$F$42,SMALL(IF("Página Web"='03.Muestra'!$D$8:$D$42,ROW('03.Muestra'!$F$8:$F$42)-MIN(ROW('03.Muestra'!$D$8:$D$42))+1,""),ROW()-94)),"")</f>
        <v>https://www.comunidad.madrid/hospital/clinicosancarlos/ciudadanos/donacion-0</v>
      </c>
      <c r="D98" s="130" t="s">
        <v>35</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https://www.comunidad.madrid/hospital/clinicosancarlos/profesionales</v>
      </c>
      <c r="D99" s="130" t="s">
        <v>35</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Docencia</v>
      </c>
      <c r="C100" s="114" t="str" cm="1">
        <f t="array" ref="C100">IFERROR(INDEX('03.Muestra'!$F$8:$F$42,SMALL(IF("Página Web"='03.Muestra'!$D$8:$D$42,ROW('03.Muestra'!$F$8:$F$42)-MIN(ROW('03.Muestra'!$D$8:$D$42))+1,""),ROW()-94)),"")</f>
        <v>https://www.comunidad.madrid/hospital/clinicosancarlos/profesionales/docencia</v>
      </c>
      <c r="D100" s="130" t="s">
        <v>35</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Referencia</v>
      </c>
      <c r="C101" s="114" t="str" cm="1">
        <f t="array" ref="C101">IFERROR(INDEX('03.Muestra'!$F$8:$F$42,SMALL(IF("Página Web"='03.Muestra'!$D$8:$D$42,ROW('03.Muestra'!$F$8:$F$42)-MIN(ROW('03.Muestra'!$D$8:$D$42))+1,""),ROW()-94)),"")</f>
        <v>https://www.comunidad.madrid/hospital/clinicosancarlos/profesionales/unidades-referencia-nacional-redes-europeas</v>
      </c>
      <c r="D101" s="130" t="s">
        <v>35</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Comunicación</v>
      </c>
      <c r="C102" s="114" t="str" cm="1">
        <f t="array" ref="C102">IFERROR(INDEX('03.Muestra'!$F$8:$F$42,SMALL(IF("Página Web"='03.Muestra'!$D$8:$D$42,ROW('03.Muestra'!$F$8:$F$42)-MIN(ROW('03.Muestra'!$D$8:$D$42))+1,""),ROW()-94)),"")</f>
        <v>https://www.comunidad.madrid/hospital/clinicosancarlos/comunicacion</v>
      </c>
      <c r="D102" s="130" t="s">
        <v>35</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Videoteca</v>
      </c>
      <c r="C103" s="114" t="str" cm="1">
        <f t="array" ref="C103">IFERROR(INDEX('03.Muestra'!$F$8:$F$42,SMALL(IF("Página Web"='03.Muestra'!$D$8:$D$42,ROW('03.Muestra'!$F$8:$F$42)-MIN(ROW('03.Muestra'!$D$8:$D$42))+1,""),ROW()-94)),"")</f>
        <v>https://www.comunidad.madrid/hospital/clinicosancarlos/comunicacion/videoteca</v>
      </c>
      <c r="D103" s="130" t="s">
        <v>35</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Noticias</v>
      </c>
      <c r="C104" s="114" t="str" cm="1">
        <f t="array" ref="C104">IFERROR(INDEX('03.Muestra'!$F$8:$F$42,SMALL(IF("Página Web"='03.Muestra'!$D$8:$D$42,ROW('03.Muestra'!$F$8:$F$42)-MIN(ROW('03.Muestra'!$D$8:$D$42))+1,""),ROW()-94)),"")</f>
        <v>https://www.comunidad.madrid/hospital/clinicosancarlos/comunicacion/noticias</v>
      </c>
      <c r="D104" s="130" t="s">
        <v>35</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Nosotros</v>
      </c>
      <c r="C105" s="114" t="str" cm="1">
        <f t="array" ref="C105">IFERROR(INDEX('03.Muestra'!$F$8:$F$42,SMALL(IF("Página Web"='03.Muestra'!$D$8:$D$42,ROW('03.Muestra'!$F$8:$F$42)-MIN(ROW('03.Muestra'!$D$8:$D$42))+1,""),ROW()-94)),"")</f>
        <v>https://www.comunidad.madrid/hospital/clinicosancarlos/nosotros</v>
      </c>
      <c r="D105" s="130" t="s">
        <v>35</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Gestión Ambiental</v>
      </c>
      <c r="C106" s="114" t="str" cm="1">
        <f t="array" ref="C106">IFERROR(INDEX('03.Muestra'!$F$8:$F$42,SMALL(IF("Página Web"='03.Muestra'!$D$8:$D$42,ROW('03.Muestra'!$F$8:$F$42)-MIN(ROW('03.Muestra'!$D$8:$D$42))+1,""),ROW()-94)),"")</f>
        <v>https://www.comunidad.madrid/hospital/clinicosancarlos/nosotros/gestion-ambiental</v>
      </c>
      <c r="D106" s="130" t="s">
        <v>35</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Proveedores</v>
      </c>
      <c r="C107" s="114" t="str" cm="1">
        <f t="array" ref="C107">IFERROR(INDEX('03.Muestra'!$F$8:$F$42,SMALL(IF("Página Web"='03.Muestra'!$D$8:$D$42,ROW('03.Muestra'!$F$8:$F$42)-MIN(ROW('03.Muestra'!$D$8:$D$42))+1,""),ROW()-94)),"")</f>
        <v>https://www.comunidad.madrid/hospital/clinicosancarlos/nosotros/proveedores-0</v>
      </c>
      <c r="D107" s="130" t="s">
        <v>35</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Aviso legal</v>
      </c>
      <c r="C108" s="114" t="str" cm="1">
        <f t="array" ref="C108">IFERROR(INDEX('03.Muestra'!$F$8:$F$42,SMALL(IF("Página Web"='03.Muestra'!$D$8:$D$42,ROW('03.Muestra'!$F$8:$F$42)-MIN(ROW('03.Muestra'!$D$8:$D$42))+1,""),ROW()-94)),"")</f>
        <v>https://www.comunidad.madrid/hospital/clinicosancarlos/aviso-legal-privacidad</v>
      </c>
      <c r="D108" s="130" t="s">
        <v>35</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Mapa web</v>
      </c>
      <c r="C109" s="114" t="str" cm="1">
        <f t="array" ref="C109">IFERROR(INDEX('03.Muestra'!$F$8:$F$42,SMALL(IF("Página Web"='03.Muestra'!$D$8:$D$42,ROW('03.Muestra'!$F$8:$F$42)-MIN(ROW('03.Muestra'!$D$8:$D$42))+1,""),ROW()-94)),"")</f>
        <v>https://www.comunidad.madrid/hospital/clinicosancarlos/sitemap</v>
      </c>
      <c r="D109" s="130" t="s">
        <v>35</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Accesibilidad</v>
      </c>
      <c r="C110" s="114" t="str" cm="1">
        <f t="array" ref="C110">IFERROR(INDEX('03.Muestra'!$F$8:$F$42,SMALL(IF("Página Web"='03.Muestra'!$D$8:$D$42,ROW('03.Muestra'!$F$8:$F$42)-MIN(ROW('03.Muestra'!$D$8:$D$42))+1,""),ROW()-94)),"")</f>
        <v>https://www.comunidad.madrid/hospital/clinicosancarlos/declaracion-accesibilidad</v>
      </c>
      <c r="D110" s="130" t="s">
        <v>35</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268</v>
      </c>
      <c r="B132" s="24" t="s">
        <v>90</v>
      </c>
      <c r="C132" s="25" t="s">
        <v>354</v>
      </c>
      <c r="D132" s="26" t="s">
        <v>32</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https://www.comunidad.madrid/hospital/clinicosancarlos/</v>
      </c>
      <c r="D133" s="130" t="s">
        <v>35</v>
      </c>
      <c r="E133" s="107" t="str">
        <f t="shared" ref="E133:E167" si="6">IF(D133&lt;&gt;"",IF(AND(B133&lt;&gt;"",C133&lt;&gt;""),"","ERR"),"")</f>
        <v/>
      </c>
      <c r="F133" s="115" t="s">
        <v>33</v>
      </c>
      <c r="G133" s="116" t="s">
        <v>37</v>
      </c>
      <c r="H133" s="117" t="s">
        <v>35</v>
      </c>
      <c r="I133" s="118" t="s">
        <v>28</v>
      </c>
      <c r="J133" s="119" t="s">
        <v>26</v>
      </c>
      <c r="K133" s="229" t="s">
        <v>474</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https://www.comunidad.madrid/hospital/clinicosancarlos/ciudadanos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Consultas externas</v>
      </c>
      <c r="C135" s="114" t="str" cm="1">
        <f t="array" ref="C135">IFERROR(INDEX('03.Muestra'!$F$8:$F$42,SMALL(IF("Página Web"='03.Muestra'!$D$8:$D$42,ROW('03.Muestra'!$F$8:$F$42)-MIN(ROW('03.Muestra'!$D$8:$D$42))+1,""),ROW()-132)),"")</f>
        <v>https://www.comunidad.madrid/hospital/clinicosancarlos/ciudadanos/consultas-externas</v>
      </c>
      <c r="D135" s="130" t="s">
        <v>35</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Donación</v>
      </c>
      <c r="C136" s="114" t="str" cm="1">
        <f t="array" ref="C136">IFERROR(INDEX('03.Muestra'!$F$8:$F$42,SMALL(IF("Página Web"='03.Muestra'!$D$8:$D$42,ROW('03.Muestra'!$F$8:$F$42)-MIN(ROW('03.Muestra'!$D$8:$D$42))+1,""),ROW()-132)),"")</f>
        <v>https://www.comunidad.madrid/hospital/clinicosancarlos/ciudadanos/donacion-0</v>
      </c>
      <c r="D136" s="130" t="s">
        <v>35</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https://www.comunidad.madrid/hospital/clinicosancarlos/profesionales</v>
      </c>
      <c r="D137" s="130" t="s">
        <v>35</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Docencia</v>
      </c>
      <c r="C138" s="114" t="str" cm="1">
        <f t="array" ref="C138">IFERROR(INDEX('03.Muestra'!$F$8:$F$42,SMALL(IF("Página Web"='03.Muestra'!$D$8:$D$42,ROW('03.Muestra'!$F$8:$F$42)-MIN(ROW('03.Muestra'!$D$8:$D$42))+1,""),ROW()-132)),"")</f>
        <v>https://www.comunidad.madrid/hospital/clinicosancarlos/profesionales/docencia</v>
      </c>
      <c r="D138" s="130" t="s">
        <v>35</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Referencia</v>
      </c>
      <c r="C139" s="114" t="str" cm="1">
        <f t="array" ref="C139">IFERROR(INDEX('03.Muestra'!$F$8:$F$42,SMALL(IF("Página Web"='03.Muestra'!$D$8:$D$42,ROW('03.Muestra'!$F$8:$F$42)-MIN(ROW('03.Muestra'!$D$8:$D$42))+1,""),ROW()-132)),"")</f>
        <v>https://www.comunidad.madrid/hospital/clinicosancarlos/profesionales/unidades-referencia-nacional-redes-europeas</v>
      </c>
      <c r="D139" s="130" t="s">
        <v>35</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Comunicación</v>
      </c>
      <c r="C140" s="114" t="str" cm="1">
        <f t="array" ref="C140">IFERROR(INDEX('03.Muestra'!$F$8:$F$42,SMALL(IF("Página Web"='03.Muestra'!$D$8:$D$42,ROW('03.Muestra'!$F$8:$F$42)-MIN(ROW('03.Muestra'!$D$8:$D$42))+1,""),ROW()-132)),"")</f>
        <v>https://www.comunidad.madrid/hospital/clinicosancarlos/comunicacion</v>
      </c>
      <c r="D140" s="130" t="s">
        <v>35</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Videoteca</v>
      </c>
      <c r="C141" s="114" t="str" cm="1">
        <f t="array" ref="C141">IFERROR(INDEX('03.Muestra'!$F$8:$F$42,SMALL(IF("Página Web"='03.Muestra'!$D$8:$D$42,ROW('03.Muestra'!$F$8:$F$42)-MIN(ROW('03.Muestra'!$D$8:$D$42))+1,""),ROW()-132)),"")</f>
        <v>https://www.comunidad.madrid/hospital/clinicosancarlos/comunicacion/videoteca</v>
      </c>
      <c r="D141" s="130" t="s">
        <v>35</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Noticias</v>
      </c>
      <c r="C142" s="114" t="str" cm="1">
        <f t="array" ref="C142">IFERROR(INDEX('03.Muestra'!$F$8:$F$42,SMALL(IF("Página Web"='03.Muestra'!$D$8:$D$42,ROW('03.Muestra'!$F$8:$F$42)-MIN(ROW('03.Muestra'!$D$8:$D$42))+1,""),ROW()-132)),"")</f>
        <v>https://www.comunidad.madrid/hospital/clinicosancarlos/comunicacion/noticias</v>
      </c>
      <c r="D142" s="130" t="s">
        <v>35</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Nosotros</v>
      </c>
      <c r="C143" s="114" t="str" cm="1">
        <f t="array" ref="C143">IFERROR(INDEX('03.Muestra'!$F$8:$F$42,SMALL(IF("Página Web"='03.Muestra'!$D$8:$D$42,ROW('03.Muestra'!$F$8:$F$42)-MIN(ROW('03.Muestra'!$D$8:$D$42))+1,""),ROW()-132)),"")</f>
        <v>https://www.comunidad.madrid/hospital/clinicosancarlos/nosotros</v>
      </c>
      <c r="D143" s="130" t="s">
        <v>35</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Gestión Ambiental</v>
      </c>
      <c r="C144" s="114" t="str" cm="1">
        <f t="array" ref="C144">IFERROR(INDEX('03.Muestra'!$F$8:$F$42,SMALL(IF("Página Web"='03.Muestra'!$D$8:$D$42,ROW('03.Muestra'!$F$8:$F$42)-MIN(ROW('03.Muestra'!$D$8:$D$42))+1,""),ROW()-132)),"")</f>
        <v>https://www.comunidad.madrid/hospital/clinicosancarlos/nosotros/gestion-ambiental</v>
      </c>
      <c r="D144" s="130" t="s">
        <v>35</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Proveedores</v>
      </c>
      <c r="C145" s="114" t="str" cm="1">
        <f t="array" ref="C145">IFERROR(INDEX('03.Muestra'!$F$8:$F$42,SMALL(IF("Página Web"='03.Muestra'!$D$8:$D$42,ROW('03.Muestra'!$F$8:$F$42)-MIN(ROW('03.Muestra'!$D$8:$D$42))+1,""),ROW()-132)),"")</f>
        <v>https://www.comunidad.madrid/hospital/clinicosancarlos/nosotros/proveedores-0</v>
      </c>
      <c r="D145" s="130" t="s">
        <v>35</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Aviso legal</v>
      </c>
      <c r="C146" s="114" t="str" cm="1">
        <f t="array" ref="C146">IFERROR(INDEX('03.Muestra'!$F$8:$F$42,SMALL(IF("Página Web"='03.Muestra'!$D$8:$D$42,ROW('03.Muestra'!$F$8:$F$42)-MIN(ROW('03.Muestra'!$D$8:$D$42))+1,""),ROW()-132)),"")</f>
        <v>https://www.comunidad.madrid/hospital/clinicosancarlos/aviso-legal-privacidad</v>
      </c>
      <c r="D146" s="130" t="s">
        <v>35</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Mapa web</v>
      </c>
      <c r="C147" s="114" t="str" cm="1">
        <f t="array" ref="C147">IFERROR(INDEX('03.Muestra'!$F$8:$F$42,SMALL(IF("Página Web"='03.Muestra'!$D$8:$D$42,ROW('03.Muestra'!$F$8:$F$42)-MIN(ROW('03.Muestra'!$D$8:$D$42))+1,""),ROW()-132)),"")</f>
        <v>https://www.comunidad.madrid/hospital/clinicosancarlos/sitemap</v>
      </c>
      <c r="D147" s="130" t="s">
        <v>35</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Accesibilidad</v>
      </c>
      <c r="C148" s="114" t="str" cm="1">
        <f t="array" ref="C148">IFERROR(INDEX('03.Muestra'!$F$8:$F$42,SMALL(IF("Página Web"='03.Muestra'!$D$8:$D$42,ROW('03.Muestra'!$F$8:$F$42)-MIN(ROW('03.Muestra'!$D$8:$D$42))+1,""),ROW()-132)),"")</f>
        <v>https://www.comunidad.madrid/hospital/clinicosancarlos/declaracion-accesibilidad</v>
      </c>
      <c r="D148" s="130" t="s">
        <v>35</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268</v>
      </c>
      <c r="B170" s="24" t="s">
        <v>90</v>
      </c>
      <c r="C170" s="25" t="s">
        <v>355</v>
      </c>
      <c r="D170" s="26" t="s">
        <v>32</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https://www.comunidad.madrid/hospital/clinicosancarlos/</v>
      </c>
      <c r="D171" s="130" t="s">
        <v>35</v>
      </c>
      <c r="E171" s="107" t="str">
        <f t="shared" ref="E171:E205" si="8">IF(D171&lt;&gt;"",IF(AND(B171&lt;&gt;"",C171&lt;&gt;""),"","ERR"),"")</f>
        <v/>
      </c>
      <c r="F171" s="115" t="s">
        <v>33</v>
      </c>
      <c r="G171" s="116" t="s">
        <v>37</v>
      </c>
      <c r="H171" s="117" t="s">
        <v>35</v>
      </c>
      <c r="I171" s="118" t="s">
        <v>28</v>
      </c>
      <c r="J171" s="119" t="s">
        <v>26</v>
      </c>
      <c r="K171" s="229" t="s">
        <v>474</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https://www.comunidad.madrid/hospital/clinicosancarlos/ciudadanos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Consultas externas</v>
      </c>
      <c r="C173" s="114" t="str" cm="1">
        <f t="array" ref="C173">IFERROR(INDEX('03.Muestra'!$F$8:$F$42,SMALL(IF("Página Web"='03.Muestra'!$D$8:$D$42,ROW('03.Muestra'!$F$8:$F$42)-MIN(ROW('03.Muestra'!$D$8:$D$42))+1,""),ROW()-170)),"")</f>
        <v>https://www.comunidad.madrid/hospital/clinicosancarlos/ciudadanos/consultas-externas</v>
      </c>
      <c r="D173" s="130" t="s">
        <v>35</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Donación</v>
      </c>
      <c r="C174" s="114" t="str" cm="1">
        <f t="array" ref="C174">IFERROR(INDEX('03.Muestra'!$F$8:$F$42,SMALL(IF("Página Web"='03.Muestra'!$D$8:$D$42,ROW('03.Muestra'!$F$8:$F$42)-MIN(ROW('03.Muestra'!$D$8:$D$42))+1,""),ROW()-170)),"")</f>
        <v>https://www.comunidad.madrid/hospital/clinicosancarlos/ciudadanos/donacion-0</v>
      </c>
      <c r="D174" s="130" t="s">
        <v>35</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https://www.comunidad.madrid/hospital/clinicosancarlos/profesionales</v>
      </c>
      <c r="D175" s="130" t="s">
        <v>35</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Docencia</v>
      </c>
      <c r="C176" s="114" t="str" cm="1">
        <f t="array" ref="C176">IFERROR(INDEX('03.Muestra'!$F$8:$F$42,SMALL(IF("Página Web"='03.Muestra'!$D$8:$D$42,ROW('03.Muestra'!$F$8:$F$42)-MIN(ROW('03.Muestra'!$D$8:$D$42))+1,""),ROW()-170)),"")</f>
        <v>https://www.comunidad.madrid/hospital/clinicosancarlos/profesionales/docencia</v>
      </c>
      <c r="D176" s="130" t="s">
        <v>35</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Referencia</v>
      </c>
      <c r="C177" s="114" t="str" cm="1">
        <f t="array" ref="C177">IFERROR(INDEX('03.Muestra'!$F$8:$F$42,SMALL(IF("Página Web"='03.Muestra'!$D$8:$D$42,ROW('03.Muestra'!$F$8:$F$42)-MIN(ROW('03.Muestra'!$D$8:$D$42))+1,""),ROW()-170)),"")</f>
        <v>https://www.comunidad.madrid/hospital/clinicosancarlos/profesionales/unidades-referencia-nacional-redes-europeas</v>
      </c>
      <c r="D177" s="130" t="s">
        <v>35</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Comunicación</v>
      </c>
      <c r="C178" s="114" t="str" cm="1">
        <f t="array" ref="C178">IFERROR(INDEX('03.Muestra'!$F$8:$F$42,SMALL(IF("Página Web"='03.Muestra'!$D$8:$D$42,ROW('03.Muestra'!$F$8:$F$42)-MIN(ROW('03.Muestra'!$D$8:$D$42))+1,""),ROW()-170)),"")</f>
        <v>https://www.comunidad.madrid/hospital/clinicosancarlos/comunicacion</v>
      </c>
      <c r="D178" s="130" t="s">
        <v>35</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Videoteca</v>
      </c>
      <c r="C179" s="114" t="str" cm="1">
        <f t="array" ref="C179">IFERROR(INDEX('03.Muestra'!$F$8:$F$42,SMALL(IF("Página Web"='03.Muestra'!$D$8:$D$42,ROW('03.Muestra'!$F$8:$F$42)-MIN(ROW('03.Muestra'!$D$8:$D$42))+1,""),ROW()-170)),"")</f>
        <v>https://www.comunidad.madrid/hospital/clinicosancarlos/comunicacion/videoteca</v>
      </c>
      <c r="D179" s="130" t="s">
        <v>35</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Noticias</v>
      </c>
      <c r="C180" s="114" t="str" cm="1">
        <f t="array" ref="C180">IFERROR(INDEX('03.Muestra'!$F$8:$F$42,SMALL(IF("Página Web"='03.Muestra'!$D$8:$D$42,ROW('03.Muestra'!$F$8:$F$42)-MIN(ROW('03.Muestra'!$D$8:$D$42))+1,""),ROW()-170)),"")</f>
        <v>https://www.comunidad.madrid/hospital/clinicosancarlos/comunicacion/noticias</v>
      </c>
      <c r="D180" s="130" t="s">
        <v>35</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Nosotros</v>
      </c>
      <c r="C181" s="114" t="str" cm="1">
        <f t="array" ref="C181">IFERROR(INDEX('03.Muestra'!$F$8:$F$42,SMALL(IF("Página Web"='03.Muestra'!$D$8:$D$42,ROW('03.Muestra'!$F$8:$F$42)-MIN(ROW('03.Muestra'!$D$8:$D$42))+1,""),ROW()-170)),"")</f>
        <v>https://www.comunidad.madrid/hospital/clinicosancarlos/nosotros</v>
      </c>
      <c r="D181" s="130" t="s">
        <v>35</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Gestión Ambiental</v>
      </c>
      <c r="C182" s="114" t="str" cm="1">
        <f t="array" ref="C182">IFERROR(INDEX('03.Muestra'!$F$8:$F$42,SMALL(IF("Página Web"='03.Muestra'!$D$8:$D$42,ROW('03.Muestra'!$F$8:$F$42)-MIN(ROW('03.Muestra'!$D$8:$D$42))+1,""),ROW()-170)),"")</f>
        <v>https://www.comunidad.madrid/hospital/clinicosancarlos/nosotros/gestion-ambiental</v>
      </c>
      <c r="D182" s="130" t="s">
        <v>35</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Proveedores</v>
      </c>
      <c r="C183" s="114" t="str" cm="1">
        <f t="array" ref="C183">IFERROR(INDEX('03.Muestra'!$F$8:$F$42,SMALL(IF("Página Web"='03.Muestra'!$D$8:$D$42,ROW('03.Muestra'!$F$8:$F$42)-MIN(ROW('03.Muestra'!$D$8:$D$42))+1,""),ROW()-170)),"")</f>
        <v>https://www.comunidad.madrid/hospital/clinicosancarlos/nosotros/proveedores-0</v>
      </c>
      <c r="D183" s="130" t="s">
        <v>35</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Aviso legal</v>
      </c>
      <c r="C184" s="114" t="str" cm="1">
        <f t="array" ref="C184">IFERROR(INDEX('03.Muestra'!$F$8:$F$42,SMALL(IF("Página Web"='03.Muestra'!$D$8:$D$42,ROW('03.Muestra'!$F$8:$F$42)-MIN(ROW('03.Muestra'!$D$8:$D$42))+1,""),ROW()-170)),"")</f>
        <v>https://www.comunidad.madrid/hospital/clinicosancarlos/aviso-legal-privacidad</v>
      </c>
      <c r="D184" s="130" t="s">
        <v>35</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Mapa web</v>
      </c>
      <c r="C185" s="114" t="str" cm="1">
        <f t="array" ref="C185">IFERROR(INDEX('03.Muestra'!$F$8:$F$42,SMALL(IF("Página Web"='03.Muestra'!$D$8:$D$42,ROW('03.Muestra'!$F$8:$F$42)-MIN(ROW('03.Muestra'!$D$8:$D$42))+1,""),ROW()-170)),"")</f>
        <v>https://www.comunidad.madrid/hospital/clinicosancarlos/sitemap</v>
      </c>
      <c r="D185" s="130" t="s">
        <v>35</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Accesibilidad</v>
      </c>
      <c r="C186" s="114" t="str" cm="1">
        <f t="array" ref="C186">IFERROR(INDEX('03.Muestra'!$F$8:$F$42,SMALL(IF("Página Web"='03.Muestra'!$D$8:$D$42,ROW('03.Muestra'!$F$8:$F$42)-MIN(ROW('03.Muestra'!$D$8:$D$42))+1,""),ROW()-170)),"")</f>
        <v>https://www.comunidad.madrid/hospital/clinicosancarlos/declaracion-accesibilidad</v>
      </c>
      <c r="D186" s="130" t="s">
        <v>35</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268</v>
      </c>
      <c r="B208" s="24" t="s">
        <v>90</v>
      </c>
      <c r="C208" s="217" t="s">
        <v>364</v>
      </c>
      <c r="D208" s="26" t="s">
        <v>32</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https://www.comunidad.madrid/hospital/clinicosancarlos/</v>
      </c>
      <c r="D209" s="130" t="s">
        <v>35</v>
      </c>
      <c r="E209" s="107" t="str">
        <f t="shared" ref="E209:E243" si="10">IF(D209&lt;&gt;"",IF(AND(B209&lt;&gt;"",C209&lt;&gt;""),"","ERR"),"")</f>
        <v/>
      </c>
      <c r="F209" s="115" t="s">
        <v>33</v>
      </c>
      <c r="G209" s="116" t="s">
        <v>37</v>
      </c>
      <c r="H209" s="117" t="s">
        <v>35</v>
      </c>
      <c r="I209" s="118" t="s">
        <v>28</v>
      </c>
      <c r="J209" s="119" t="s">
        <v>26</v>
      </c>
      <c r="K209" s="229" t="s">
        <v>474</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https://www.comunidad.madrid/hospital/clinicosancarlos/ciudadanos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Consultas externas</v>
      </c>
      <c r="C211" s="114" t="str" cm="1">
        <f t="array" ref="C211">IFERROR(INDEX('03.Muestra'!$F$8:$F$42,SMALL(IF("Página Web"='03.Muestra'!$D$8:$D$42,ROW('03.Muestra'!$F$8:$F$42)-MIN(ROW('03.Muestra'!$D$8:$D$42))+1,""),ROW()-208)),"")</f>
        <v>https://www.comunidad.madrid/hospital/clinicosancarlos/ciudadanos/consultas-externas</v>
      </c>
      <c r="D211" s="130" t="s">
        <v>35</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Donación</v>
      </c>
      <c r="C212" s="114" t="str" cm="1">
        <f t="array" ref="C212">IFERROR(INDEX('03.Muestra'!$F$8:$F$42,SMALL(IF("Página Web"='03.Muestra'!$D$8:$D$42,ROW('03.Muestra'!$F$8:$F$42)-MIN(ROW('03.Muestra'!$D$8:$D$42))+1,""),ROW()-208)),"")</f>
        <v>https://www.comunidad.madrid/hospital/clinicosancarlos/ciudadanos/donacion-0</v>
      </c>
      <c r="D212" s="130" t="s">
        <v>35</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Profesionales</v>
      </c>
      <c r="C213" s="114" t="str" cm="1">
        <f t="array" ref="C213">IFERROR(INDEX('03.Muestra'!$F$8:$F$42,SMALL(IF("Página Web"='03.Muestra'!$D$8:$D$42,ROW('03.Muestra'!$F$8:$F$42)-MIN(ROW('03.Muestra'!$D$8:$D$42))+1,""),ROW()-208)),"")</f>
        <v>https://www.comunidad.madrid/hospital/clinicosancarlos/profesionales</v>
      </c>
      <c r="D213" s="130" t="s">
        <v>35</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Docencia</v>
      </c>
      <c r="C214" s="114" t="str" cm="1">
        <f t="array" ref="C214">IFERROR(INDEX('03.Muestra'!$F$8:$F$42,SMALL(IF("Página Web"='03.Muestra'!$D$8:$D$42,ROW('03.Muestra'!$F$8:$F$42)-MIN(ROW('03.Muestra'!$D$8:$D$42))+1,""),ROW()-208)),"")</f>
        <v>https://www.comunidad.madrid/hospital/clinicosancarlos/profesionales/docencia</v>
      </c>
      <c r="D214" s="130" t="s">
        <v>35</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Referencia</v>
      </c>
      <c r="C215" s="114" t="str" cm="1">
        <f t="array" ref="C215">IFERROR(INDEX('03.Muestra'!$F$8:$F$42,SMALL(IF("Página Web"='03.Muestra'!$D$8:$D$42,ROW('03.Muestra'!$F$8:$F$42)-MIN(ROW('03.Muestra'!$D$8:$D$42))+1,""),ROW()-208)),"")</f>
        <v>https://www.comunidad.madrid/hospital/clinicosancarlos/profesionales/unidades-referencia-nacional-redes-europeas</v>
      </c>
      <c r="D215" s="130" t="s">
        <v>35</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Comunicación</v>
      </c>
      <c r="C216" s="114" t="str" cm="1">
        <f t="array" ref="C216">IFERROR(INDEX('03.Muestra'!$F$8:$F$42,SMALL(IF("Página Web"='03.Muestra'!$D$8:$D$42,ROW('03.Muestra'!$F$8:$F$42)-MIN(ROW('03.Muestra'!$D$8:$D$42))+1,""),ROW()-208)),"")</f>
        <v>https://www.comunidad.madrid/hospital/clinicosancarlos/comunicacion</v>
      </c>
      <c r="D216" s="130" t="s">
        <v>35</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Videoteca</v>
      </c>
      <c r="C217" s="114" t="str" cm="1">
        <f t="array" ref="C217">IFERROR(INDEX('03.Muestra'!$F$8:$F$42,SMALL(IF("Página Web"='03.Muestra'!$D$8:$D$42,ROW('03.Muestra'!$F$8:$F$42)-MIN(ROW('03.Muestra'!$D$8:$D$42))+1,""),ROW()-208)),"")</f>
        <v>https://www.comunidad.madrid/hospital/clinicosancarlos/comunicacion/videoteca</v>
      </c>
      <c r="D217" s="130" t="s">
        <v>35</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Noticias</v>
      </c>
      <c r="C218" s="114" t="str" cm="1">
        <f t="array" ref="C218">IFERROR(INDEX('03.Muestra'!$F$8:$F$42,SMALL(IF("Página Web"='03.Muestra'!$D$8:$D$42,ROW('03.Muestra'!$F$8:$F$42)-MIN(ROW('03.Muestra'!$D$8:$D$42))+1,""),ROW()-208)),"")</f>
        <v>https://www.comunidad.madrid/hospital/clinicosancarlos/comunicacion/noticias</v>
      </c>
      <c r="D218" s="130" t="s">
        <v>35</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Nosotros</v>
      </c>
      <c r="C219" s="114" t="str" cm="1">
        <f t="array" ref="C219">IFERROR(INDEX('03.Muestra'!$F$8:$F$42,SMALL(IF("Página Web"='03.Muestra'!$D$8:$D$42,ROW('03.Muestra'!$F$8:$F$42)-MIN(ROW('03.Muestra'!$D$8:$D$42))+1,""),ROW()-208)),"")</f>
        <v>https://www.comunidad.madrid/hospital/clinicosancarlos/nosotros</v>
      </c>
      <c r="D219" s="130" t="s">
        <v>35</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Gestión Ambiental</v>
      </c>
      <c r="C220" s="114" t="str" cm="1">
        <f t="array" ref="C220">IFERROR(INDEX('03.Muestra'!$F$8:$F$42,SMALL(IF("Página Web"='03.Muestra'!$D$8:$D$42,ROW('03.Muestra'!$F$8:$F$42)-MIN(ROW('03.Muestra'!$D$8:$D$42))+1,""),ROW()-208)),"")</f>
        <v>https://www.comunidad.madrid/hospital/clinicosancarlos/nosotros/gestion-ambiental</v>
      </c>
      <c r="D220" s="130" t="s">
        <v>35</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Proveedores</v>
      </c>
      <c r="C221" s="114" t="str" cm="1">
        <f t="array" ref="C221">IFERROR(INDEX('03.Muestra'!$F$8:$F$42,SMALL(IF("Página Web"='03.Muestra'!$D$8:$D$42,ROW('03.Muestra'!$F$8:$F$42)-MIN(ROW('03.Muestra'!$D$8:$D$42))+1,""),ROW()-208)),"")</f>
        <v>https://www.comunidad.madrid/hospital/clinicosancarlos/nosotros/proveedores-0</v>
      </c>
      <c r="D221" s="130" t="s">
        <v>35</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Aviso legal</v>
      </c>
      <c r="C222" s="114" t="str" cm="1">
        <f t="array" ref="C222">IFERROR(INDEX('03.Muestra'!$F$8:$F$42,SMALL(IF("Página Web"='03.Muestra'!$D$8:$D$42,ROW('03.Muestra'!$F$8:$F$42)-MIN(ROW('03.Muestra'!$D$8:$D$42))+1,""),ROW()-208)),"")</f>
        <v>https://www.comunidad.madrid/hospital/clinicosancarlos/aviso-legal-privacidad</v>
      </c>
      <c r="D222" s="130" t="s">
        <v>35</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Mapa web</v>
      </c>
      <c r="C223" s="114" t="str" cm="1">
        <f t="array" ref="C223">IFERROR(INDEX('03.Muestra'!$F$8:$F$42,SMALL(IF("Página Web"='03.Muestra'!$D$8:$D$42,ROW('03.Muestra'!$F$8:$F$42)-MIN(ROW('03.Muestra'!$D$8:$D$42))+1,""),ROW()-208)),"")</f>
        <v>https://www.comunidad.madrid/hospital/clinicosancarlos/sitemap</v>
      </c>
      <c r="D223" s="130" t="s">
        <v>35</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Accesibilidad</v>
      </c>
      <c r="C224" s="114" t="str" cm="1">
        <f t="array" ref="C224">IFERROR(INDEX('03.Muestra'!$F$8:$F$42,SMALL(IF("Página Web"='03.Muestra'!$D$8:$D$42,ROW('03.Muestra'!$F$8:$F$42)-MIN(ROW('03.Muestra'!$D$8:$D$42))+1,""),ROW()-208)),"")</f>
        <v>https://www.comunidad.madrid/hospital/clinicosancarlos/declaracion-accesibilidad</v>
      </c>
      <c r="D224" s="130" t="s">
        <v>35</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268</v>
      </c>
      <c r="B246" s="24" t="s">
        <v>90</v>
      </c>
      <c r="C246" s="217" t="s">
        <v>314</v>
      </c>
      <c r="D246" s="26" t="s">
        <v>32</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https://www.comunidad.madrid/hospital/clinicosancarlos/</v>
      </c>
      <c r="D247" s="130" t="s">
        <v>35</v>
      </c>
      <c r="E247" s="107" t="str">
        <f t="shared" ref="E247:E281" si="12">IF(D247&lt;&gt;"",IF(AND(B247&lt;&gt;"",C247&lt;&gt;""),"","ERR"),"")</f>
        <v/>
      </c>
      <c r="F247" s="115" t="s">
        <v>33</v>
      </c>
      <c r="G247" s="116" t="s">
        <v>37</v>
      </c>
      <c r="H247" s="117" t="s">
        <v>35</v>
      </c>
      <c r="I247" s="118" t="s">
        <v>28</v>
      </c>
      <c r="J247" s="119" t="s">
        <v>26</v>
      </c>
      <c r="K247" s="229" t="s">
        <v>474</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https://www.comunidad.madrid/hospital/clinicosancarlos/ciudadanos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16</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Consultas externas</v>
      </c>
      <c r="C249" s="114" t="str" cm="1">
        <f t="array" ref="C249">IFERROR(INDEX('03.Muestra'!$F$8:$F$42,SMALL(IF("Página Web"='03.Muestra'!$D$8:$D$42,ROW('03.Muestra'!$F$8:$F$42)-MIN(ROW('03.Muestra'!$D$8:$D$42))+1,""),ROW()-246)),"")</f>
        <v>https://www.comunidad.madrid/hospital/clinicosancarlos/ciudadanos/consultas-externas</v>
      </c>
      <c r="D249" s="130" t="s">
        <v>35</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Donación</v>
      </c>
      <c r="C250" s="114" t="str" cm="1">
        <f t="array" ref="C250">IFERROR(INDEX('03.Muestra'!$F$8:$F$42,SMALL(IF("Página Web"='03.Muestra'!$D$8:$D$42,ROW('03.Muestra'!$F$8:$F$42)-MIN(ROW('03.Muestra'!$D$8:$D$42))+1,""),ROW()-246)),"")</f>
        <v>https://www.comunidad.madrid/hospital/clinicosancarlos/ciudadanos/donacion-0</v>
      </c>
      <c r="D250" s="130" t="s">
        <v>35</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Profesionales</v>
      </c>
      <c r="C251" s="114" t="str" cm="1">
        <f t="array" ref="C251">IFERROR(INDEX('03.Muestra'!$F$8:$F$42,SMALL(IF("Página Web"='03.Muestra'!$D$8:$D$42,ROW('03.Muestra'!$F$8:$F$42)-MIN(ROW('03.Muestra'!$D$8:$D$42))+1,""),ROW()-246)),"")</f>
        <v>https://www.comunidad.madrid/hospital/clinicosancarlos/profesionales</v>
      </c>
      <c r="D251" s="130" t="s">
        <v>35</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Docencia</v>
      </c>
      <c r="C252" s="114" t="str" cm="1">
        <f t="array" ref="C252">IFERROR(INDEX('03.Muestra'!$F$8:$F$42,SMALL(IF("Página Web"='03.Muestra'!$D$8:$D$42,ROW('03.Muestra'!$F$8:$F$42)-MIN(ROW('03.Muestra'!$D$8:$D$42))+1,""),ROW()-246)),"")</f>
        <v>https://www.comunidad.madrid/hospital/clinicosancarlos/profesionales/docencia</v>
      </c>
      <c r="D252" s="130" t="s">
        <v>35</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Referencia</v>
      </c>
      <c r="C253" s="114" t="str" cm="1">
        <f t="array" ref="C253">IFERROR(INDEX('03.Muestra'!$F$8:$F$42,SMALL(IF("Página Web"='03.Muestra'!$D$8:$D$42,ROW('03.Muestra'!$F$8:$F$42)-MIN(ROW('03.Muestra'!$D$8:$D$42))+1,""),ROW()-246)),"")</f>
        <v>https://www.comunidad.madrid/hospital/clinicosancarlos/profesionales/unidades-referencia-nacional-redes-europeas</v>
      </c>
      <c r="D253" s="130" t="s">
        <v>35</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Comunicación</v>
      </c>
      <c r="C254" s="114" t="str" cm="1">
        <f t="array" ref="C254">IFERROR(INDEX('03.Muestra'!$F$8:$F$42,SMALL(IF("Página Web"='03.Muestra'!$D$8:$D$42,ROW('03.Muestra'!$F$8:$F$42)-MIN(ROW('03.Muestra'!$D$8:$D$42))+1,""),ROW()-246)),"")</f>
        <v>https://www.comunidad.madrid/hospital/clinicosancarlos/comunicacion</v>
      </c>
      <c r="D254" s="130" t="s">
        <v>35</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Videoteca</v>
      </c>
      <c r="C255" s="114" t="str" cm="1">
        <f t="array" ref="C255">IFERROR(INDEX('03.Muestra'!$F$8:$F$42,SMALL(IF("Página Web"='03.Muestra'!$D$8:$D$42,ROW('03.Muestra'!$F$8:$F$42)-MIN(ROW('03.Muestra'!$D$8:$D$42))+1,""),ROW()-246)),"")</f>
        <v>https://www.comunidad.madrid/hospital/clinicosancarlos/comunicacion/videoteca</v>
      </c>
      <c r="D255" s="130" t="s">
        <v>35</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Noticias</v>
      </c>
      <c r="C256" s="114" t="str" cm="1">
        <f t="array" ref="C256">IFERROR(INDEX('03.Muestra'!$F$8:$F$42,SMALL(IF("Página Web"='03.Muestra'!$D$8:$D$42,ROW('03.Muestra'!$F$8:$F$42)-MIN(ROW('03.Muestra'!$D$8:$D$42))+1,""),ROW()-246)),"")</f>
        <v>https://www.comunidad.madrid/hospital/clinicosancarlos/comunicacion/noticias</v>
      </c>
      <c r="D256" s="130" t="s">
        <v>35</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Nosotros</v>
      </c>
      <c r="C257" s="114" t="str" cm="1">
        <f t="array" ref="C257">IFERROR(INDEX('03.Muestra'!$F$8:$F$42,SMALL(IF("Página Web"='03.Muestra'!$D$8:$D$42,ROW('03.Muestra'!$F$8:$F$42)-MIN(ROW('03.Muestra'!$D$8:$D$42))+1,""),ROW()-246)),"")</f>
        <v>https://www.comunidad.madrid/hospital/clinicosancarlos/nosotros</v>
      </c>
      <c r="D257" s="130" t="s">
        <v>35</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Gestión Ambiental</v>
      </c>
      <c r="C258" s="114" t="str" cm="1">
        <f t="array" ref="C258">IFERROR(INDEX('03.Muestra'!$F$8:$F$42,SMALL(IF("Página Web"='03.Muestra'!$D$8:$D$42,ROW('03.Muestra'!$F$8:$F$42)-MIN(ROW('03.Muestra'!$D$8:$D$42))+1,""),ROW()-246)),"")</f>
        <v>https://www.comunidad.madrid/hospital/clinicosancarlos/nosotros/gestion-ambiental</v>
      </c>
      <c r="D258" s="130" t="s">
        <v>35</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Proveedores</v>
      </c>
      <c r="C259" s="114" t="str" cm="1">
        <f t="array" ref="C259">IFERROR(INDEX('03.Muestra'!$F$8:$F$42,SMALL(IF("Página Web"='03.Muestra'!$D$8:$D$42,ROW('03.Muestra'!$F$8:$F$42)-MIN(ROW('03.Muestra'!$D$8:$D$42))+1,""),ROW()-246)),"")</f>
        <v>https://www.comunidad.madrid/hospital/clinicosancarlos/nosotros/proveedores-0</v>
      </c>
      <c r="D259" s="130" t="s">
        <v>35</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Aviso legal</v>
      </c>
      <c r="C260" s="114" t="str" cm="1">
        <f t="array" ref="C260">IFERROR(INDEX('03.Muestra'!$F$8:$F$42,SMALL(IF("Página Web"='03.Muestra'!$D$8:$D$42,ROW('03.Muestra'!$F$8:$F$42)-MIN(ROW('03.Muestra'!$D$8:$D$42))+1,""),ROW()-246)),"")</f>
        <v>https://www.comunidad.madrid/hospital/clinicosancarlos/aviso-legal-privacidad</v>
      </c>
      <c r="D260" s="130" t="s">
        <v>35</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Mapa web</v>
      </c>
      <c r="C261" s="114" t="str" cm="1">
        <f t="array" ref="C261">IFERROR(INDEX('03.Muestra'!$F$8:$F$42,SMALL(IF("Página Web"='03.Muestra'!$D$8:$D$42,ROW('03.Muestra'!$F$8:$F$42)-MIN(ROW('03.Muestra'!$D$8:$D$42))+1,""),ROW()-246)),"")</f>
        <v>https://www.comunidad.madrid/hospital/clinicosancarlos/sitemap</v>
      </c>
      <c r="D261" s="130" t="s">
        <v>35</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Accesibilidad</v>
      </c>
      <c r="C262" s="114" t="str" cm="1">
        <f t="array" ref="C262">IFERROR(INDEX('03.Muestra'!$F$8:$F$42,SMALL(IF("Página Web"='03.Muestra'!$D$8:$D$42,ROW('03.Muestra'!$F$8:$F$42)-MIN(ROW('03.Muestra'!$D$8:$D$42))+1,""),ROW()-246)),"")</f>
        <v>https://www.comunidad.madrid/hospital/clinicosancarlos/declaracion-accesibilidad</v>
      </c>
      <c r="D262" s="130" t="s">
        <v>35</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268</v>
      </c>
      <c r="B284" s="24" t="s">
        <v>90</v>
      </c>
      <c r="C284" s="25" t="s">
        <v>365</v>
      </c>
      <c r="D284" s="26" t="s">
        <v>32</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https://www.comunidad.madrid/hospital/clinicosancarlos/</v>
      </c>
      <c r="D285" s="130" t="s">
        <v>35</v>
      </c>
      <c r="E285" s="107" t="str">
        <f t="shared" ref="E285:E319" si="14">IF(D285&lt;&gt;"",IF(AND(B285&lt;&gt;"",C285&lt;&gt;""),"","ERR"),"")</f>
        <v/>
      </c>
      <c r="F285" s="115" t="s">
        <v>33</v>
      </c>
      <c r="G285" s="116" t="s">
        <v>37</v>
      </c>
      <c r="H285" s="117" t="s">
        <v>35</v>
      </c>
      <c r="I285" s="118" t="s">
        <v>28</v>
      </c>
      <c r="J285" s="119" t="s">
        <v>26</v>
      </c>
      <c r="K285" s="229" t="s">
        <v>474</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https://www.comunidad.madrid/hospital/clinicosancarlos/ciudadanos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Consultas externas</v>
      </c>
      <c r="C287" s="114" t="str" cm="1">
        <f t="array" ref="C287">IFERROR(INDEX('03.Muestra'!$F$8:$F$42,SMALL(IF("Página Web"='03.Muestra'!$D$8:$D$42,ROW('03.Muestra'!$F$8:$F$42)-MIN(ROW('03.Muestra'!$D$8:$D$42))+1,""),ROW()-284)),"")</f>
        <v>https://www.comunidad.madrid/hospital/clinicosancarlos/ciudadanos/consultas-externas</v>
      </c>
      <c r="D287" s="130" t="s">
        <v>35</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Donación</v>
      </c>
      <c r="C288" s="114" t="str" cm="1">
        <f t="array" ref="C288">IFERROR(INDEX('03.Muestra'!$F$8:$F$42,SMALL(IF("Página Web"='03.Muestra'!$D$8:$D$42,ROW('03.Muestra'!$F$8:$F$42)-MIN(ROW('03.Muestra'!$D$8:$D$42))+1,""),ROW()-284)),"")</f>
        <v>https://www.comunidad.madrid/hospital/clinicosancarlos/ciudadanos/donacion-0</v>
      </c>
      <c r="D288" s="130" t="s">
        <v>35</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Profesionales</v>
      </c>
      <c r="C289" s="114" t="str" cm="1">
        <f t="array" ref="C289">IFERROR(INDEX('03.Muestra'!$F$8:$F$42,SMALL(IF("Página Web"='03.Muestra'!$D$8:$D$42,ROW('03.Muestra'!$F$8:$F$42)-MIN(ROW('03.Muestra'!$D$8:$D$42))+1,""),ROW()-284)),"")</f>
        <v>https://www.comunidad.madrid/hospital/clinicosancarlos/profesionales</v>
      </c>
      <c r="D289" s="130" t="s">
        <v>35</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Docencia</v>
      </c>
      <c r="C290" s="114" t="str" cm="1">
        <f t="array" ref="C290">IFERROR(INDEX('03.Muestra'!$F$8:$F$42,SMALL(IF("Página Web"='03.Muestra'!$D$8:$D$42,ROW('03.Muestra'!$F$8:$F$42)-MIN(ROW('03.Muestra'!$D$8:$D$42))+1,""),ROW()-284)),"")</f>
        <v>https://www.comunidad.madrid/hospital/clinicosancarlos/profesionales/docencia</v>
      </c>
      <c r="D290" s="130" t="s">
        <v>35</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Referencia</v>
      </c>
      <c r="C291" s="114" t="str" cm="1">
        <f t="array" ref="C291">IFERROR(INDEX('03.Muestra'!$F$8:$F$42,SMALL(IF("Página Web"='03.Muestra'!$D$8:$D$42,ROW('03.Muestra'!$F$8:$F$42)-MIN(ROW('03.Muestra'!$D$8:$D$42))+1,""),ROW()-284)),"")</f>
        <v>https://www.comunidad.madrid/hospital/clinicosancarlos/profesionales/unidades-referencia-nacional-redes-europeas</v>
      </c>
      <c r="D291" s="130" t="s">
        <v>35</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Comunicación</v>
      </c>
      <c r="C292" s="114" t="str" cm="1">
        <f t="array" ref="C292">IFERROR(INDEX('03.Muestra'!$F$8:$F$42,SMALL(IF("Página Web"='03.Muestra'!$D$8:$D$42,ROW('03.Muestra'!$F$8:$F$42)-MIN(ROW('03.Muestra'!$D$8:$D$42))+1,""),ROW()-284)),"")</f>
        <v>https://www.comunidad.madrid/hospital/clinicosancarlos/comunicacion</v>
      </c>
      <c r="D292" s="130" t="s">
        <v>35</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Videoteca</v>
      </c>
      <c r="C293" s="114" t="str" cm="1">
        <f t="array" ref="C293">IFERROR(INDEX('03.Muestra'!$F$8:$F$42,SMALL(IF("Página Web"='03.Muestra'!$D$8:$D$42,ROW('03.Muestra'!$F$8:$F$42)-MIN(ROW('03.Muestra'!$D$8:$D$42))+1,""),ROW()-284)),"")</f>
        <v>https://www.comunidad.madrid/hospital/clinicosancarlos/comunicacion/videoteca</v>
      </c>
      <c r="D293" s="130" t="s">
        <v>35</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Noticias</v>
      </c>
      <c r="C294" s="114" t="str" cm="1">
        <f t="array" ref="C294">IFERROR(INDEX('03.Muestra'!$F$8:$F$42,SMALL(IF("Página Web"='03.Muestra'!$D$8:$D$42,ROW('03.Muestra'!$F$8:$F$42)-MIN(ROW('03.Muestra'!$D$8:$D$42))+1,""),ROW()-284)),"")</f>
        <v>https://www.comunidad.madrid/hospital/clinicosancarlos/comunicacion/noticias</v>
      </c>
      <c r="D294" s="130" t="s">
        <v>35</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Nosotros</v>
      </c>
      <c r="C295" s="114" t="str" cm="1">
        <f t="array" ref="C295">IFERROR(INDEX('03.Muestra'!$F$8:$F$42,SMALL(IF("Página Web"='03.Muestra'!$D$8:$D$42,ROW('03.Muestra'!$F$8:$F$42)-MIN(ROW('03.Muestra'!$D$8:$D$42))+1,""),ROW()-284)),"")</f>
        <v>https://www.comunidad.madrid/hospital/clinicosancarlos/nosotros</v>
      </c>
      <c r="D295" s="130" t="s">
        <v>35</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Gestión Ambiental</v>
      </c>
      <c r="C296" s="114" t="str" cm="1">
        <f t="array" ref="C296">IFERROR(INDEX('03.Muestra'!$F$8:$F$42,SMALL(IF("Página Web"='03.Muestra'!$D$8:$D$42,ROW('03.Muestra'!$F$8:$F$42)-MIN(ROW('03.Muestra'!$D$8:$D$42))+1,""),ROW()-284)),"")</f>
        <v>https://www.comunidad.madrid/hospital/clinicosancarlos/nosotros/gestion-ambiental</v>
      </c>
      <c r="D296" s="130" t="s">
        <v>35</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Proveedores</v>
      </c>
      <c r="C297" s="114" t="str" cm="1">
        <f t="array" ref="C297">IFERROR(INDEX('03.Muestra'!$F$8:$F$42,SMALL(IF("Página Web"='03.Muestra'!$D$8:$D$42,ROW('03.Muestra'!$F$8:$F$42)-MIN(ROW('03.Muestra'!$D$8:$D$42))+1,""),ROW()-284)),"")</f>
        <v>https://www.comunidad.madrid/hospital/clinicosancarlos/nosotros/proveedores-0</v>
      </c>
      <c r="D297" s="130" t="s">
        <v>35</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Aviso legal</v>
      </c>
      <c r="C298" s="114" t="str" cm="1">
        <f t="array" ref="C298">IFERROR(INDEX('03.Muestra'!$F$8:$F$42,SMALL(IF("Página Web"='03.Muestra'!$D$8:$D$42,ROW('03.Muestra'!$F$8:$F$42)-MIN(ROW('03.Muestra'!$D$8:$D$42))+1,""),ROW()-284)),"")</f>
        <v>https://www.comunidad.madrid/hospital/clinicosancarlos/aviso-legal-privacidad</v>
      </c>
      <c r="D298" s="130" t="s">
        <v>35</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Mapa web</v>
      </c>
      <c r="C299" s="114" t="str" cm="1">
        <f t="array" ref="C299">IFERROR(INDEX('03.Muestra'!$F$8:$F$42,SMALL(IF("Página Web"='03.Muestra'!$D$8:$D$42,ROW('03.Muestra'!$F$8:$F$42)-MIN(ROW('03.Muestra'!$D$8:$D$42))+1,""),ROW()-284)),"")</f>
        <v>https://www.comunidad.madrid/hospital/clinicosancarlos/sitemap</v>
      </c>
      <c r="D299" s="130" t="s">
        <v>35</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Accesibilidad</v>
      </c>
      <c r="C300" s="114" t="str" cm="1">
        <f t="array" ref="C300">IFERROR(INDEX('03.Muestra'!$F$8:$F$42,SMALL(IF("Página Web"='03.Muestra'!$D$8:$D$42,ROW('03.Muestra'!$F$8:$F$42)-MIN(ROW('03.Muestra'!$D$8:$D$42))+1,""),ROW()-284)),"")</f>
        <v>https://www.comunidad.madrid/hospital/clinicosancarlos/declaracion-accesibilidad</v>
      </c>
      <c r="D300" s="130" t="s">
        <v>35</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268</v>
      </c>
      <c r="B322" s="24" t="s">
        <v>90</v>
      </c>
      <c r="C322" s="25" t="s">
        <v>366</v>
      </c>
      <c r="D322" s="26" t="s">
        <v>32</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https://www.comunidad.madrid/hospital/clinicosancarlos/</v>
      </c>
      <c r="D323" s="130" t="s">
        <v>35</v>
      </c>
      <c r="E323" s="107" t="str">
        <f t="shared" ref="E323:E357" si="16">IF(D323&lt;&gt;"",IF(AND(B323&lt;&gt;"",C323&lt;&gt;""),"","ERR"),"")</f>
        <v/>
      </c>
      <c r="F323" s="115" t="s">
        <v>33</v>
      </c>
      <c r="G323" s="116" t="s">
        <v>37</v>
      </c>
      <c r="H323" s="117" t="s">
        <v>35</v>
      </c>
      <c r="I323" s="118" t="s">
        <v>28</v>
      </c>
      <c r="J323" s="119" t="s">
        <v>26</v>
      </c>
      <c r="K323" s="229" t="s">
        <v>474</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https://www.comunidad.madrid/hospital/clinicosancarlos/ciudadanos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Consultas externas</v>
      </c>
      <c r="C325" s="114" t="str" cm="1">
        <f t="array" ref="C325">IFERROR(INDEX('03.Muestra'!$F$8:$F$42,SMALL(IF("Página Web"='03.Muestra'!$D$8:$D$42,ROW('03.Muestra'!$F$8:$F$42)-MIN(ROW('03.Muestra'!$D$8:$D$42))+1,""),ROW()-322)),"")</f>
        <v>https://www.comunidad.madrid/hospital/clinicosancarlos/ciudadanos/consultas-externas</v>
      </c>
      <c r="D325" s="130" t="s">
        <v>35</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Donación</v>
      </c>
      <c r="C326" s="114" t="str" cm="1">
        <f t="array" ref="C326">IFERROR(INDEX('03.Muestra'!$F$8:$F$42,SMALL(IF("Página Web"='03.Muestra'!$D$8:$D$42,ROW('03.Muestra'!$F$8:$F$42)-MIN(ROW('03.Muestra'!$D$8:$D$42))+1,""),ROW()-322)),"")</f>
        <v>https://www.comunidad.madrid/hospital/clinicosancarlos/ciudadanos/donacion-0</v>
      </c>
      <c r="D326" s="130" t="s">
        <v>35</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Profesionales</v>
      </c>
      <c r="C327" s="114" t="str" cm="1">
        <f t="array" ref="C327">IFERROR(INDEX('03.Muestra'!$F$8:$F$42,SMALL(IF("Página Web"='03.Muestra'!$D$8:$D$42,ROW('03.Muestra'!$F$8:$F$42)-MIN(ROW('03.Muestra'!$D$8:$D$42))+1,""),ROW()-322)),"")</f>
        <v>https://www.comunidad.madrid/hospital/clinicosancarlos/profesionales</v>
      </c>
      <c r="D327" s="130" t="s">
        <v>35</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Docencia</v>
      </c>
      <c r="C328" s="114" t="str" cm="1">
        <f t="array" ref="C328">IFERROR(INDEX('03.Muestra'!$F$8:$F$42,SMALL(IF("Página Web"='03.Muestra'!$D$8:$D$42,ROW('03.Muestra'!$F$8:$F$42)-MIN(ROW('03.Muestra'!$D$8:$D$42))+1,""),ROW()-322)),"")</f>
        <v>https://www.comunidad.madrid/hospital/clinicosancarlos/profesionales/docencia</v>
      </c>
      <c r="D328" s="130" t="s">
        <v>35</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Referencia</v>
      </c>
      <c r="C329" s="114" t="str" cm="1">
        <f t="array" ref="C329">IFERROR(INDEX('03.Muestra'!$F$8:$F$42,SMALL(IF("Página Web"='03.Muestra'!$D$8:$D$42,ROW('03.Muestra'!$F$8:$F$42)-MIN(ROW('03.Muestra'!$D$8:$D$42))+1,""),ROW()-322)),"")</f>
        <v>https://www.comunidad.madrid/hospital/clinicosancarlos/profesionales/unidades-referencia-nacional-redes-europeas</v>
      </c>
      <c r="D329" s="130" t="s">
        <v>35</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Comunicación</v>
      </c>
      <c r="C330" s="114" t="str" cm="1">
        <f t="array" ref="C330">IFERROR(INDEX('03.Muestra'!$F$8:$F$42,SMALL(IF("Página Web"='03.Muestra'!$D$8:$D$42,ROW('03.Muestra'!$F$8:$F$42)-MIN(ROW('03.Muestra'!$D$8:$D$42))+1,""),ROW()-322)),"")</f>
        <v>https://www.comunidad.madrid/hospital/clinicosancarlos/comunicacion</v>
      </c>
      <c r="D330" s="130" t="s">
        <v>35</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Videoteca</v>
      </c>
      <c r="C331" s="114" t="str" cm="1">
        <f t="array" ref="C331">IFERROR(INDEX('03.Muestra'!$F$8:$F$42,SMALL(IF("Página Web"='03.Muestra'!$D$8:$D$42,ROW('03.Muestra'!$F$8:$F$42)-MIN(ROW('03.Muestra'!$D$8:$D$42))+1,""),ROW()-322)),"")</f>
        <v>https://www.comunidad.madrid/hospital/clinicosancarlos/comunicacion/videoteca</v>
      </c>
      <c r="D331" s="130" t="s">
        <v>35</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Noticias</v>
      </c>
      <c r="C332" s="114" t="str" cm="1">
        <f t="array" ref="C332">IFERROR(INDEX('03.Muestra'!$F$8:$F$42,SMALL(IF("Página Web"='03.Muestra'!$D$8:$D$42,ROW('03.Muestra'!$F$8:$F$42)-MIN(ROW('03.Muestra'!$D$8:$D$42))+1,""),ROW()-322)),"")</f>
        <v>https://www.comunidad.madrid/hospital/clinicosancarlos/comunicacion/noticias</v>
      </c>
      <c r="D332" s="130" t="s">
        <v>35</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Nosotros</v>
      </c>
      <c r="C333" s="114" t="str" cm="1">
        <f t="array" ref="C333">IFERROR(INDEX('03.Muestra'!$F$8:$F$42,SMALL(IF("Página Web"='03.Muestra'!$D$8:$D$42,ROW('03.Muestra'!$F$8:$F$42)-MIN(ROW('03.Muestra'!$D$8:$D$42))+1,""),ROW()-322)),"")</f>
        <v>https://www.comunidad.madrid/hospital/clinicosancarlos/nosotros</v>
      </c>
      <c r="D333" s="130" t="s">
        <v>35</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Gestión Ambiental</v>
      </c>
      <c r="C334" s="114" t="str" cm="1">
        <f t="array" ref="C334">IFERROR(INDEX('03.Muestra'!$F$8:$F$42,SMALL(IF("Página Web"='03.Muestra'!$D$8:$D$42,ROW('03.Muestra'!$F$8:$F$42)-MIN(ROW('03.Muestra'!$D$8:$D$42))+1,""),ROW()-322)),"")</f>
        <v>https://www.comunidad.madrid/hospital/clinicosancarlos/nosotros/gestion-ambiental</v>
      </c>
      <c r="D334" s="130" t="s">
        <v>35</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Proveedores</v>
      </c>
      <c r="C335" s="114" t="str" cm="1">
        <f t="array" ref="C335">IFERROR(INDEX('03.Muestra'!$F$8:$F$42,SMALL(IF("Página Web"='03.Muestra'!$D$8:$D$42,ROW('03.Muestra'!$F$8:$F$42)-MIN(ROW('03.Muestra'!$D$8:$D$42))+1,""),ROW()-322)),"")</f>
        <v>https://www.comunidad.madrid/hospital/clinicosancarlos/nosotros/proveedores-0</v>
      </c>
      <c r="D335" s="130" t="s">
        <v>35</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Aviso legal</v>
      </c>
      <c r="C336" s="114" t="str" cm="1">
        <f t="array" ref="C336">IFERROR(INDEX('03.Muestra'!$F$8:$F$42,SMALL(IF("Página Web"='03.Muestra'!$D$8:$D$42,ROW('03.Muestra'!$F$8:$F$42)-MIN(ROW('03.Muestra'!$D$8:$D$42))+1,""),ROW()-322)),"")</f>
        <v>https://www.comunidad.madrid/hospital/clinicosancarlos/aviso-legal-privacidad</v>
      </c>
      <c r="D336" s="130" t="s">
        <v>35</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Mapa web</v>
      </c>
      <c r="C337" s="114" t="str" cm="1">
        <f t="array" ref="C337">IFERROR(INDEX('03.Muestra'!$F$8:$F$42,SMALL(IF("Página Web"='03.Muestra'!$D$8:$D$42,ROW('03.Muestra'!$F$8:$F$42)-MIN(ROW('03.Muestra'!$D$8:$D$42))+1,""),ROW()-322)),"")</f>
        <v>https://www.comunidad.madrid/hospital/clinicosancarlos/sitemap</v>
      </c>
      <c r="D337" s="130" t="s">
        <v>35</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Accesibilidad</v>
      </c>
      <c r="C338" s="114" t="str" cm="1">
        <f t="array" ref="C338">IFERROR(INDEX('03.Muestra'!$F$8:$F$42,SMALL(IF("Página Web"='03.Muestra'!$D$8:$D$42,ROW('03.Muestra'!$F$8:$F$42)-MIN(ROW('03.Muestra'!$D$8:$D$42))+1,""),ROW()-322)),"")</f>
        <v>https://www.comunidad.madrid/hospital/clinicosancarlos/declaracion-accesibilidad</v>
      </c>
      <c r="D338" s="130" t="s">
        <v>35</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268</v>
      </c>
      <c r="B360" s="24" t="s">
        <v>90</v>
      </c>
      <c r="C360" s="25" t="s">
        <v>367</v>
      </c>
      <c r="D360" s="26" t="s">
        <v>32</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https://www.comunidad.madrid/hospital/clinicosancarlos/</v>
      </c>
      <c r="D361" s="130" t="s">
        <v>35</v>
      </c>
      <c r="E361" s="107" t="str">
        <f t="shared" ref="E361:E395" si="18">IF(D361&lt;&gt;"",IF(AND(B361&lt;&gt;"",C361&lt;&gt;""),"","ERR"),"")</f>
        <v/>
      </c>
      <c r="F361" s="115" t="s">
        <v>33</v>
      </c>
      <c r="G361" s="116" t="s">
        <v>37</v>
      </c>
      <c r="H361" s="117" t="s">
        <v>35</v>
      </c>
      <c r="I361" s="118" t="s">
        <v>28</v>
      </c>
      <c r="J361" s="119" t="s">
        <v>26</v>
      </c>
      <c r="K361" s="229" t="s">
        <v>474</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https://www.comunidad.madrid/hospital/clinicosancarlos/ciudadanos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16</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Consultas externas</v>
      </c>
      <c r="C363" s="114" t="str" cm="1">
        <f t="array" ref="C363">IFERROR(INDEX('03.Muestra'!$F$8:$F$42,SMALL(IF("Página Web"='03.Muestra'!$D$8:$D$42,ROW('03.Muestra'!$F$8:$F$42)-MIN(ROW('03.Muestra'!$D$8:$D$42))+1,""),ROW()-360)),"")</f>
        <v>https://www.comunidad.madrid/hospital/clinicosancarlos/ciudadanos/consultas-externas</v>
      </c>
      <c r="D363" s="130" t="s">
        <v>35</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Donación</v>
      </c>
      <c r="C364" s="114" t="str" cm="1">
        <f t="array" ref="C364">IFERROR(INDEX('03.Muestra'!$F$8:$F$42,SMALL(IF("Página Web"='03.Muestra'!$D$8:$D$42,ROW('03.Muestra'!$F$8:$F$42)-MIN(ROW('03.Muestra'!$D$8:$D$42))+1,""),ROW()-360)),"")</f>
        <v>https://www.comunidad.madrid/hospital/clinicosancarlos/ciudadanos/donacion-0</v>
      </c>
      <c r="D364" s="130" t="s">
        <v>35</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Profesionales</v>
      </c>
      <c r="C365" s="114" t="str" cm="1">
        <f t="array" ref="C365">IFERROR(INDEX('03.Muestra'!$F$8:$F$42,SMALL(IF("Página Web"='03.Muestra'!$D$8:$D$42,ROW('03.Muestra'!$F$8:$F$42)-MIN(ROW('03.Muestra'!$D$8:$D$42))+1,""),ROW()-360)),"")</f>
        <v>https://www.comunidad.madrid/hospital/clinicosancarlos/profesionales</v>
      </c>
      <c r="D365" s="130" t="s">
        <v>35</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Docencia</v>
      </c>
      <c r="C366" s="114" t="str" cm="1">
        <f t="array" ref="C366">IFERROR(INDEX('03.Muestra'!$F$8:$F$42,SMALL(IF("Página Web"='03.Muestra'!$D$8:$D$42,ROW('03.Muestra'!$F$8:$F$42)-MIN(ROW('03.Muestra'!$D$8:$D$42))+1,""),ROW()-360)),"")</f>
        <v>https://www.comunidad.madrid/hospital/clinicosancarlos/profesionales/docencia</v>
      </c>
      <c r="D366" s="130" t="s">
        <v>35</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Referencia</v>
      </c>
      <c r="C367" s="114" t="str" cm="1">
        <f t="array" ref="C367">IFERROR(INDEX('03.Muestra'!$F$8:$F$42,SMALL(IF("Página Web"='03.Muestra'!$D$8:$D$42,ROW('03.Muestra'!$F$8:$F$42)-MIN(ROW('03.Muestra'!$D$8:$D$42))+1,""),ROW()-360)),"")</f>
        <v>https://www.comunidad.madrid/hospital/clinicosancarlos/profesionales/unidades-referencia-nacional-redes-europeas</v>
      </c>
      <c r="D367" s="130" t="s">
        <v>35</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Comunicación</v>
      </c>
      <c r="C368" s="114" t="str" cm="1">
        <f t="array" ref="C368">IFERROR(INDEX('03.Muestra'!$F$8:$F$42,SMALL(IF("Página Web"='03.Muestra'!$D$8:$D$42,ROW('03.Muestra'!$F$8:$F$42)-MIN(ROW('03.Muestra'!$D$8:$D$42))+1,""),ROW()-360)),"")</f>
        <v>https://www.comunidad.madrid/hospital/clinicosancarlos/comunicacion</v>
      </c>
      <c r="D368" s="130" t="s">
        <v>35</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Videoteca</v>
      </c>
      <c r="C369" s="114" t="str" cm="1">
        <f t="array" ref="C369">IFERROR(INDEX('03.Muestra'!$F$8:$F$42,SMALL(IF("Página Web"='03.Muestra'!$D$8:$D$42,ROW('03.Muestra'!$F$8:$F$42)-MIN(ROW('03.Muestra'!$D$8:$D$42))+1,""),ROW()-360)),"")</f>
        <v>https://www.comunidad.madrid/hospital/clinicosancarlos/comunicacion/videoteca</v>
      </c>
      <c r="D369" s="130" t="s">
        <v>35</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Noticias</v>
      </c>
      <c r="C370" s="114" t="str" cm="1">
        <f t="array" ref="C370">IFERROR(INDEX('03.Muestra'!$F$8:$F$42,SMALL(IF("Página Web"='03.Muestra'!$D$8:$D$42,ROW('03.Muestra'!$F$8:$F$42)-MIN(ROW('03.Muestra'!$D$8:$D$42))+1,""),ROW()-360)),"")</f>
        <v>https://www.comunidad.madrid/hospital/clinicosancarlos/comunicacion/noticias</v>
      </c>
      <c r="D370" s="130" t="s">
        <v>35</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Nosotros</v>
      </c>
      <c r="C371" s="114" t="str" cm="1">
        <f t="array" ref="C371">IFERROR(INDEX('03.Muestra'!$F$8:$F$42,SMALL(IF("Página Web"='03.Muestra'!$D$8:$D$42,ROW('03.Muestra'!$F$8:$F$42)-MIN(ROW('03.Muestra'!$D$8:$D$42))+1,""),ROW()-360)),"")</f>
        <v>https://www.comunidad.madrid/hospital/clinicosancarlos/nosotros</v>
      </c>
      <c r="D371" s="130" t="s">
        <v>35</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Gestión Ambiental</v>
      </c>
      <c r="C372" s="114" t="str" cm="1">
        <f t="array" ref="C372">IFERROR(INDEX('03.Muestra'!$F$8:$F$42,SMALL(IF("Página Web"='03.Muestra'!$D$8:$D$42,ROW('03.Muestra'!$F$8:$F$42)-MIN(ROW('03.Muestra'!$D$8:$D$42))+1,""),ROW()-360)),"")</f>
        <v>https://www.comunidad.madrid/hospital/clinicosancarlos/nosotros/gestion-ambiental</v>
      </c>
      <c r="D372" s="130" t="s">
        <v>35</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Proveedores</v>
      </c>
      <c r="C373" s="114" t="str" cm="1">
        <f t="array" ref="C373">IFERROR(INDEX('03.Muestra'!$F$8:$F$42,SMALL(IF("Página Web"='03.Muestra'!$D$8:$D$42,ROW('03.Muestra'!$F$8:$F$42)-MIN(ROW('03.Muestra'!$D$8:$D$42))+1,""),ROW()-360)),"")</f>
        <v>https://www.comunidad.madrid/hospital/clinicosancarlos/nosotros/proveedores-0</v>
      </c>
      <c r="D373" s="130" t="s">
        <v>35</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Aviso legal</v>
      </c>
      <c r="C374" s="114" t="str" cm="1">
        <f t="array" ref="C374">IFERROR(INDEX('03.Muestra'!$F$8:$F$42,SMALL(IF("Página Web"='03.Muestra'!$D$8:$D$42,ROW('03.Muestra'!$F$8:$F$42)-MIN(ROW('03.Muestra'!$D$8:$D$42))+1,""),ROW()-360)),"")</f>
        <v>https://www.comunidad.madrid/hospital/clinicosancarlos/aviso-legal-privacidad</v>
      </c>
      <c r="D374" s="130" t="s">
        <v>35</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Mapa web</v>
      </c>
      <c r="C375" s="114" t="str" cm="1">
        <f t="array" ref="C375">IFERROR(INDEX('03.Muestra'!$F$8:$F$42,SMALL(IF("Página Web"='03.Muestra'!$D$8:$D$42,ROW('03.Muestra'!$F$8:$F$42)-MIN(ROW('03.Muestra'!$D$8:$D$42))+1,""),ROW()-360)),"")</f>
        <v>https://www.comunidad.madrid/hospital/clinicosancarlos/sitemap</v>
      </c>
      <c r="D375" s="130" t="s">
        <v>35</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Accesibilidad</v>
      </c>
      <c r="C376" s="114" t="str" cm="1">
        <f t="array" ref="C376">IFERROR(INDEX('03.Muestra'!$F$8:$F$42,SMALL(IF("Página Web"='03.Muestra'!$D$8:$D$42,ROW('03.Muestra'!$F$8:$F$42)-MIN(ROW('03.Muestra'!$D$8:$D$42))+1,""),ROW()-360)),"")</f>
        <v>https://www.comunidad.madrid/hospital/clinicosancarlos/declaracion-accesibilidad</v>
      </c>
      <c r="D376" s="130" t="s">
        <v>35</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ref="D377:D395" si="19">IF(AND(B377&lt;&gt;"",C377&lt;&gt;""),"N/T","")</f>
        <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268</v>
      </c>
      <c r="B398" s="24" t="s">
        <v>90</v>
      </c>
      <c r="C398" s="25" t="s">
        <v>368</v>
      </c>
      <c r="D398" s="26" t="s">
        <v>32</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https://www.comunidad.madrid/hospital/clinicosancarlos/</v>
      </c>
      <c r="D399" s="130" t="s">
        <v>35</v>
      </c>
      <c r="E399" s="107" t="str">
        <f t="shared" ref="E399:E433" si="20">IF(D399&lt;&gt;"",IF(AND(B399&lt;&gt;"",C399&lt;&gt;""),"","ERR"),"")</f>
        <v/>
      </c>
      <c r="F399" s="115" t="s">
        <v>33</v>
      </c>
      <c r="G399" s="116" t="s">
        <v>37</v>
      </c>
      <c r="H399" s="117" t="s">
        <v>35</v>
      </c>
      <c r="I399" s="118" t="s">
        <v>28</v>
      </c>
      <c r="J399" s="119" t="s">
        <v>26</v>
      </c>
      <c r="K399" s="229" t="s">
        <v>474</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https://www.comunidad.madrid/hospital/clinicosancarlos/ciudadanos</v>
      </c>
      <c r="D400" s="130" t="s">
        <v>35</v>
      </c>
      <c r="E400" s="107" t="str">
        <f t="shared" si="20"/>
        <v/>
      </c>
      <c r="F400" s="120">
        <f ca="1">COUNTIF($D399:INDIRECT("$D" &amp;  SUM(ROW()-1,'03.Muestra'!$D$45)-1),F399)</f>
        <v>0</v>
      </c>
      <c r="G400" s="120">
        <f ca="1">COUNTIF($D399:INDIRECT("$D" &amp;  SUM(ROW()-1,'03.Muestra'!$D$45)-1),G399)</f>
        <v>0</v>
      </c>
      <c r="H400" s="120">
        <f ca="1">COUNTIF($D399:INDIRECT("$D" &amp;  SUM(ROW()-1,'03.Muestra'!$D$45)-1),H399)</f>
        <v>16</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Consultas externas</v>
      </c>
      <c r="C401" s="114" t="str" cm="1">
        <f t="array" ref="C401">IFERROR(INDEX('03.Muestra'!$F$8:$F$42,SMALL(IF("Página Web"='03.Muestra'!$D$8:$D$42,ROW('03.Muestra'!$F$8:$F$42)-MIN(ROW('03.Muestra'!$D$8:$D$42))+1,""),ROW()-398)),"")</f>
        <v>https://www.comunidad.madrid/hospital/clinicosancarlos/ciudadanos/consultas-externas</v>
      </c>
      <c r="D401" s="130" t="s">
        <v>35</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Donación</v>
      </c>
      <c r="C402" s="114" t="str" cm="1">
        <f t="array" ref="C402">IFERROR(INDEX('03.Muestra'!$F$8:$F$42,SMALL(IF("Página Web"='03.Muestra'!$D$8:$D$42,ROW('03.Muestra'!$F$8:$F$42)-MIN(ROW('03.Muestra'!$D$8:$D$42))+1,""),ROW()-398)),"")</f>
        <v>https://www.comunidad.madrid/hospital/clinicosancarlos/ciudadanos/donacion-0</v>
      </c>
      <c r="D402" s="130" t="s">
        <v>35</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Profesionales</v>
      </c>
      <c r="C403" s="114" t="str" cm="1">
        <f t="array" ref="C403">IFERROR(INDEX('03.Muestra'!$F$8:$F$42,SMALL(IF("Página Web"='03.Muestra'!$D$8:$D$42,ROW('03.Muestra'!$F$8:$F$42)-MIN(ROW('03.Muestra'!$D$8:$D$42))+1,""),ROW()-398)),"")</f>
        <v>https://www.comunidad.madrid/hospital/clinicosancarlos/profesionales</v>
      </c>
      <c r="D403" s="130" t="s">
        <v>35</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Docencia</v>
      </c>
      <c r="C404" s="114" t="str" cm="1">
        <f t="array" ref="C404">IFERROR(INDEX('03.Muestra'!$F$8:$F$42,SMALL(IF("Página Web"='03.Muestra'!$D$8:$D$42,ROW('03.Muestra'!$F$8:$F$42)-MIN(ROW('03.Muestra'!$D$8:$D$42))+1,""),ROW()-398)),"")</f>
        <v>https://www.comunidad.madrid/hospital/clinicosancarlos/profesionales/docencia</v>
      </c>
      <c r="D404" s="130" t="s">
        <v>35</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Referencia</v>
      </c>
      <c r="C405" s="114" t="str" cm="1">
        <f t="array" ref="C405">IFERROR(INDEX('03.Muestra'!$F$8:$F$42,SMALL(IF("Página Web"='03.Muestra'!$D$8:$D$42,ROW('03.Muestra'!$F$8:$F$42)-MIN(ROW('03.Muestra'!$D$8:$D$42))+1,""),ROW()-398)),"")</f>
        <v>https://www.comunidad.madrid/hospital/clinicosancarlos/profesionales/unidades-referencia-nacional-redes-europeas</v>
      </c>
      <c r="D405" s="130" t="s">
        <v>35</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Comunicación</v>
      </c>
      <c r="C406" s="114" t="str" cm="1">
        <f t="array" ref="C406">IFERROR(INDEX('03.Muestra'!$F$8:$F$42,SMALL(IF("Página Web"='03.Muestra'!$D$8:$D$42,ROW('03.Muestra'!$F$8:$F$42)-MIN(ROW('03.Muestra'!$D$8:$D$42))+1,""),ROW()-398)),"")</f>
        <v>https://www.comunidad.madrid/hospital/clinicosancarlos/comunicacion</v>
      </c>
      <c r="D406" s="130" t="s">
        <v>35</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Videoteca</v>
      </c>
      <c r="C407" s="114" t="str" cm="1">
        <f t="array" ref="C407">IFERROR(INDEX('03.Muestra'!$F$8:$F$42,SMALL(IF("Página Web"='03.Muestra'!$D$8:$D$42,ROW('03.Muestra'!$F$8:$F$42)-MIN(ROW('03.Muestra'!$D$8:$D$42))+1,""),ROW()-398)),"")</f>
        <v>https://www.comunidad.madrid/hospital/clinicosancarlos/comunicacion/videoteca</v>
      </c>
      <c r="D407" s="130" t="s">
        <v>35</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Noticias</v>
      </c>
      <c r="C408" s="114" t="str" cm="1">
        <f t="array" ref="C408">IFERROR(INDEX('03.Muestra'!$F$8:$F$42,SMALL(IF("Página Web"='03.Muestra'!$D$8:$D$42,ROW('03.Muestra'!$F$8:$F$42)-MIN(ROW('03.Muestra'!$D$8:$D$42))+1,""),ROW()-398)),"")</f>
        <v>https://www.comunidad.madrid/hospital/clinicosancarlos/comunicacion/noticias</v>
      </c>
      <c r="D408" s="130" t="s">
        <v>35</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Nosotros</v>
      </c>
      <c r="C409" s="114" t="str" cm="1">
        <f t="array" ref="C409">IFERROR(INDEX('03.Muestra'!$F$8:$F$42,SMALL(IF("Página Web"='03.Muestra'!$D$8:$D$42,ROW('03.Muestra'!$F$8:$F$42)-MIN(ROW('03.Muestra'!$D$8:$D$42))+1,""),ROW()-398)),"")</f>
        <v>https://www.comunidad.madrid/hospital/clinicosancarlos/nosotros</v>
      </c>
      <c r="D409" s="130" t="s">
        <v>35</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Gestión Ambiental</v>
      </c>
      <c r="C410" s="114" t="str" cm="1">
        <f t="array" ref="C410">IFERROR(INDEX('03.Muestra'!$F$8:$F$42,SMALL(IF("Página Web"='03.Muestra'!$D$8:$D$42,ROW('03.Muestra'!$F$8:$F$42)-MIN(ROW('03.Muestra'!$D$8:$D$42))+1,""),ROW()-398)),"")</f>
        <v>https://www.comunidad.madrid/hospital/clinicosancarlos/nosotros/gestion-ambiental</v>
      </c>
      <c r="D410" s="130" t="s">
        <v>35</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Proveedores</v>
      </c>
      <c r="C411" s="114" t="str" cm="1">
        <f t="array" ref="C411">IFERROR(INDEX('03.Muestra'!$F$8:$F$42,SMALL(IF("Página Web"='03.Muestra'!$D$8:$D$42,ROW('03.Muestra'!$F$8:$F$42)-MIN(ROW('03.Muestra'!$D$8:$D$42))+1,""),ROW()-398)),"")</f>
        <v>https://www.comunidad.madrid/hospital/clinicosancarlos/nosotros/proveedores-0</v>
      </c>
      <c r="D411" s="130" t="s">
        <v>35</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Aviso legal</v>
      </c>
      <c r="C412" s="114" t="str" cm="1">
        <f t="array" ref="C412">IFERROR(INDEX('03.Muestra'!$F$8:$F$42,SMALL(IF("Página Web"='03.Muestra'!$D$8:$D$42,ROW('03.Muestra'!$F$8:$F$42)-MIN(ROW('03.Muestra'!$D$8:$D$42))+1,""),ROW()-398)),"")</f>
        <v>https://www.comunidad.madrid/hospital/clinicosancarlos/aviso-legal-privacidad</v>
      </c>
      <c r="D412" s="130" t="s">
        <v>35</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Mapa web</v>
      </c>
      <c r="C413" s="114" t="str" cm="1">
        <f t="array" ref="C413">IFERROR(INDEX('03.Muestra'!$F$8:$F$42,SMALL(IF("Página Web"='03.Muestra'!$D$8:$D$42,ROW('03.Muestra'!$F$8:$F$42)-MIN(ROW('03.Muestra'!$D$8:$D$42))+1,""),ROW()-398)),"")</f>
        <v>https://www.comunidad.madrid/hospital/clinicosancarlos/sitemap</v>
      </c>
      <c r="D413" s="130" t="s">
        <v>35</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Accesibilidad</v>
      </c>
      <c r="C414" s="114" t="str" cm="1">
        <f t="array" ref="C414">IFERROR(INDEX('03.Muestra'!$F$8:$F$42,SMALL(IF("Página Web"='03.Muestra'!$D$8:$D$42,ROW('03.Muestra'!$F$8:$F$42)-MIN(ROW('03.Muestra'!$D$8:$D$42))+1,""),ROW()-398)),"")</f>
        <v>https://www.comunidad.madrid/hospital/clinicosancarlos/declaracion-accesibilidad</v>
      </c>
      <c r="D414" s="130" t="s">
        <v>35</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ref="D415:D433" si="21">IF(AND(B415&lt;&gt;"",C415&lt;&gt;""),"N/T","")</f>
        <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268</v>
      </c>
      <c r="B436" s="24" t="s">
        <v>90</v>
      </c>
      <c r="C436" s="25" t="s">
        <v>356</v>
      </c>
      <c r="D436" s="26" t="s">
        <v>32</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https://www.comunidad.madrid/hospital/clinicosancarlos/</v>
      </c>
      <c r="D437" s="130" t="s">
        <v>35</v>
      </c>
      <c r="E437" s="107" t="str">
        <f t="shared" ref="E437:E471" si="22">IF(D437&lt;&gt;"",IF(AND(B437&lt;&gt;"",C437&lt;&gt;""),"","ERR"),"")</f>
        <v/>
      </c>
      <c r="F437" s="115" t="s">
        <v>33</v>
      </c>
      <c r="G437" s="116" t="s">
        <v>37</v>
      </c>
      <c r="H437" s="117" t="s">
        <v>35</v>
      </c>
      <c r="I437" s="118" t="s">
        <v>28</v>
      </c>
      <c r="J437" s="119" t="s">
        <v>26</v>
      </c>
      <c r="K437" s="229"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https://www.comunidad.madrid/hospital/clinicosancarlos/ciudadanos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16</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Consultas externas</v>
      </c>
      <c r="C439" s="114" t="str" cm="1">
        <f t="array" ref="C439">IFERROR(INDEX('03.Muestra'!$F$8:$F$42,SMALL(IF("Página Web"='03.Muestra'!$D$8:$D$42,ROW('03.Muestra'!$F$8:$F$42)-MIN(ROW('03.Muestra'!$D$8:$D$42))+1,""),ROW()-436)),"")</f>
        <v>https://www.comunidad.madrid/hospital/clinicosancarlos/ciudadanos/consultas-externas</v>
      </c>
      <c r="D439" s="130" t="s">
        <v>35</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Donación</v>
      </c>
      <c r="C440" s="114" t="str" cm="1">
        <f t="array" ref="C440">IFERROR(INDEX('03.Muestra'!$F$8:$F$42,SMALL(IF("Página Web"='03.Muestra'!$D$8:$D$42,ROW('03.Muestra'!$F$8:$F$42)-MIN(ROW('03.Muestra'!$D$8:$D$42))+1,""),ROW()-436)),"")</f>
        <v>https://www.comunidad.madrid/hospital/clinicosancarlos/ciudadanos/donacion-0</v>
      </c>
      <c r="D440" s="130" t="s">
        <v>35</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Profesionales</v>
      </c>
      <c r="C441" s="114" t="str" cm="1">
        <f t="array" ref="C441">IFERROR(INDEX('03.Muestra'!$F$8:$F$42,SMALL(IF("Página Web"='03.Muestra'!$D$8:$D$42,ROW('03.Muestra'!$F$8:$F$42)-MIN(ROW('03.Muestra'!$D$8:$D$42))+1,""),ROW()-436)),"")</f>
        <v>https://www.comunidad.madrid/hospital/clinicosancarlos/profesionales</v>
      </c>
      <c r="D441" s="130" t="s">
        <v>35</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Docencia</v>
      </c>
      <c r="C442" s="114" t="str" cm="1">
        <f t="array" ref="C442">IFERROR(INDEX('03.Muestra'!$F$8:$F$42,SMALL(IF("Página Web"='03.Muestra'!$D$8:$D$42,ROW('03.Muestra'!$F$8:$F$42)-MIN(ROW('03.Muestra'!$D$8:$D$42))+1,""),ROW()-436)),"")</f>
        <v>https://www.comunidad.madrid/hospital/clinicosancarlos/profesionales/docencia</v>
      </c>
      <c r="D442" s="130" t="s">
        <v>35</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Referencia</v>
      </c>
      <c r="C443" s="114" t="str" cm="1">
        <f t="array" ref="C443">IFERROR(INDEX('03.Muestra'!$F$8:$F$42,SMALL(IF("Página Web"='03.Muestra'!$D$8:$D$42,ROW('03.Muestra'!$F$8:$F$42)-MIN(ROW('03.Muestra'!$D$8:$D$42))+1,""),ROW()-436)),"")</f>
        <v>https://www.comunidad.madrid/hospital/clinicosancarlos/profesionales/unidades-referencia-nacional-redes-europeas</v>
      </c>
      <c r="D443" s="130" t="s">
        <v>35</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Comunicación</v>
      </c>
      <c r="C444" s="114" t="str" cm="1">
        <f t="array" ref="C444">IFERROR(INDEX('03.Muestra'!$F$8:$F$42,SMALL(IF("Página Web"='03.Muestra'!$D$8:$D$42,ROW('03.Muestra'!$F$8:$F$42)-MIN(ROW('03.Muestra'!$D$8:$D$42))+1,""),ROW()-436)),"")</f>
        <v>https://www.comunidad.madrid/hospital/clinicosancarlos/comunicacion</v>
      </c>
      <c r="D444" s="130" t="s">
        <v>35</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Videoteca</v>
      </c>
      <c r="C445" s="114" t="str" cm="1">
        <f t="array" ref="C445">IFERROR(INDEX('03.Muestra'!$F$8:$F$42,SMALL(IF("Página Web"='03.Muestra'!$D$8:$D$42,ROW('03.Muestra'!$F$8:$F$42)-MIN(ROW('03.Muestra'!$D$8:$D$42))+1,""),ROW()-436)),"")</f>
        <v>https://www.comunidad.madrid/hospital/clinicosancarlos/comunicacion/videoteca</v>
      </c>
      <c r="D445" s="130" t="s">
        <v>35</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Noticias</v>
      </c>
      <c r="C446" s="114" t="str" cm="1">
        <f t="array" ref="C446">IFERROR(INDEX('03.Muestra'!$F$8:$F$42,SMALL(IF("Página Web"='03.Muestra'!$D$8:$D$42,ROW('03.Muestra'!$F$8:$F$42)-MIN(ROW('03.Muestra'!$D$8:$D$42))+1,""),ROW()-436)),"")</f>
        <v>https://www.comunidad.madrid/hospital/clinicosancarlos/comunicacion/noticias</v>
      </c>
      <c r="D446" s="130" t="s">
        <v>35</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Nosotros</v>
      </c>
      <c r="C447" s="114" t="str" cm="1">
        <f t="array" ref="C447">IFERROR(INDEX('03.Muestra'!$F$8:$F$42,SMALL(IF("Página Web"='03.Muestra'!$D$8:$D$42,ROW('03.Muestra'!$F$8:$F$42)-MIN(ROW('03.Muestra'!$D$8:$D$42))+1,""),ROW()-436)),"")</f>
        <v>https://www.comunidad.madrid/hospital/clinicosancarlos/nosotros</v>
      </c>
      <c r="D447" s="130" t="s">
        <v>35</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Gestión Ambiental</v>
      </c>
      <c r="C448" s="114" t="str" cm="1">
        <f t="array" ref="C448">IFERROR(INDEX('03.Muestra'!$F$8:$F$42,SMALL(IF("Página Web"='03.Muestra'!$D$8:$D$42,ROW('03.Muestra'!$F$8:$F$42)-MIN(ROW('03.Muestra'!$D$8:$D$42))+1,""),ROW()-436)),"")</f>
        <v>https://www.comunidad.madrid/hospital/clinicosancarlos/nosotros/gestion-ambiental</v>
      </c>
      <c r="D448" s="130" t="s">
        <v>35</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Proveedores</v>
      </c>
      <c r="C449" s="114" t="str" cm="1">
        <f t="array" ref="C449">IFERROR(INDEX('03.Muestra'!$F$8:$F$42,SMALL(IF("Página Web"='03.Muestra'!$D$8:$D$42,ROW('03.Muestra'!$F$8:$F$42)-MIN(ROW('03.Muestra'!$D$8:$D$42))+1,""),ROW()-436)),"")</f>
        <v>https://www.comunidad.madrid/hospital/clinicosancarlos/nosotros/proveedores-0</v>
      </c>
      <c r="D449" s="130" t="s">
        <v>35</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Aviso legal</v>
      </c>
      <c r="C450" s="114" t="str" cm="1">
        <f t="array" ref="C450">IFERROR(INDEX('03.Muestra'!$F$8:$F$42,SMALL(IF("Página Web"='03.Muestra'!$D$8:$D$42,ROW('03.Muestra'!$F$8:$F$42)-MIN(ROW('03.Muestra'!$D$8:$D$42))+1,""),ROW()-436)),"")</f>
        <v>https://www.comunidad.madrid/hospital/clinicosancarlos/aviso-legal-privacidad</v>
      </c>
      <c r="D450" s="130" t="s">
        <v>35</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Mapa web</v>
      </c>
      <c r="C451" s="114" t="str" cm="1">
        <f t="array" ref="C451">IFERROR(INDEX('03.Muestra'!$F$8:$F$42,SMALL(IF("Página Web"='03.Muestra'!$D$8:$D$42,ROW('03.Muestra'!$F$8:$F$42)-MIN(ROW('03.Muestra'!$D$8:$D$42))+1,""),ROW()-436)),"")</f>
        <v>https://www.comunidad.madrid/hospital/clinicosancarlos/sitemap</v>
      </c>
      <c r="D451" s="130" t="s">
        <v>35</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Accesibilidad</v>
      </c>
      <c r="C452" s="114" t="str" cm="1">
        <f t="array" ref="C452">IFERROR(INDEX('03.Muestra'!$F$8:$F$42,SMALL(IF("Página Web"='03.Muestra'!$D$8:$D$42,ROW('03.Muestra'!$F$8:$F$42)-MIN(ROW('03.Muestra'!$D$8:$D$42))+1,""),ROW()-436)),"")</f>
        <v>https://www.comunidad.madrid/hospital/clinicosancarlos/declaracion-accesibilidad</v>
      </c>
      <c r="D452" s="130" t="s">
        <v>35</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ref="D453:D471" si="23">IF(AND(B453&lt;&gt;"",C453&lt;&gt;""),"N/T","")</f>
        <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268</v>
      </c>
      <c r="B474" s="24" t="s">
        <v>90</v>
      </c>
      <c r="C474" s="25" t="s">
        <v>254</v>
      </c>
      <c r="D474" s="26" t="s">
        <v>32</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https://www.comunidad.madrid/hospital/clinicosancarlos/</v>
      </c>
      <c r="D475" s="130" t="s">
        <v>35</v>
      </c>
      <c r="E475" s="107" t="str">
        <f t="shared" ref="E475:E509" si="24">IF(D475&lt;&gt;"",IF(AND(B475&lt;&gt;"",C475&lt;&gt;""),"","ERR"),"")</f>
        <v/>
      </c>
      <c r="F475" s="115" t="s">
        <v>33</v>
      </c>
      <c r="G475" s="116" t="s">
        <v>37</v>
      </c>
      <c r="H475" s="117" t="s">
        <v>35</v>
      </c>
      <c r="I475" s="118" t="s">
        <v>28</v>
      </c>
      <c r="J475" s="119" t="s">
        <v>26</v>
      </c>
      <c r="K475" s="229"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https://www.comunidad.madrid/hospital/clinicosancarlos/ciudadanos</v>
      </c>
      <c r="D476" s="130" t="s">
        <v>35</v>
      </c>
      <c r="E476" s="107" t="str">
        <f t="shared" si="24"/>
        <v/>
      </c>
      <c r="F476" s="120">
        <f ca="1">COUNTIF($D475:INDIRECT("$D" &amp;  SUM(ROW()-1,'03.Muestra'!$D$45)-1),F475)</f>
        <v>0</v>
      </c>
      <c r="G476" s="120">
        <f ca="1">COUNTIF($D475:INDIRECT("$D" &amp;  SUM(ROW()-1,'03.Muestra'!$D$45)-1),G475)</f>
        <v>0</v>
      </c>
      <c r="H476" s="120">
        <f ca="1">COUNTIF($D475:INDIRECT("$D" &amp;  SUM(ROW()-1,'03.Muestra'!$D$45)-1),H475)</f>
        <v>16</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Consultas externas</v>
      </c>
      <c r="C477" s="114" t="str" cm="1">
        <f t="array" ref="C477">IFERROR(INDEX('03.Muestra'!$F$8:$F$42,SMALL(IF("Página Web"='03.Muestra'!$D$8:$D$42,ROW('03.Muestra'!$F$8:$F$42)-MIN(ROW('03.Muestra'!$D$8:$D$42))+1,""),ROW()-474)),"")</f>
        <v>https://www.comunidad.madrid/hospital/clinicosancarlos/ciudadanos/consultas-externas</v>
      </c>
      <c r="D477" s="130" t="s">
        <v>35</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Donación</v>
      </c>
      <c r="C478" s="114" t="str" cm="1">
        <f t="array" ref="C478">IFERROR(INDEX('03.Muestra'!$F$8:$F$42,SMALL(IF("Página Web"='03.Muestra'!$D$8:$D$42,ROW('03.Muestra'!$F$8:$F$42)-MIN(ROW('03.Muestra'!$D$8:$D$42))+1,""),ROW()-474)),"")</f>
        <v>https://www.comunidad.madrid/hospital/clinicosancarlos/ciudadanos/donacion-0</v>
      </c>
      <c r="D478" s="130" t="s">
        <v>35</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Profesionales</v>
      </c>
      <c r="C479" s="114" t="str" cm="1">
        <f t="array" ref="C479">IFERROR(INDEX('03.Muestra'!$F$8:$F$42,SMALL(IF("Página Web"='03.Muestra'!$D$8:$D$42,ROW('03.Muestra'!$F$8:$F$42)-MIN(ROW('03.Muestra'!$D$8:$D$42))+1,""),ROW()-474)),"")</f>
        <v>https://www.comunidad.madrid/hospital/clinicosancarlos/profesionales</v>
      </c>
      <c r="D479" s="130" t="s">
        <v>35</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Docencia</v>
      </c>
      <c r="C480" s="114" t="str" cm="1">
        <f t="array" ref="C480">IFERROR(INDEX('03.Muestra'!$F$8:$F$42,SMALL(IF("Página Web"='03.Muestra'!$D$8:$D$42,ROW('03.Muestra'!$F$8:$F$42)-MIN(ROW('03.Muestra'!$D$8:$D$42))+1,""),ROW()-474)),"")</f>
        <v>https://www.comunidad.madrid/hospital/clinicosancarlos/profesionales/docencia</v>
      </c>
      <c r="D480" s="130" t="s">
        <v>35</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Referencia</v>
      </c>
      <c r="C481" s="114" t="str" cm="1">
        <f t="array" ref="C481">IFERROR(INDEX('03.Muestra'!$F$8:$F$42,SMALL(IF("Página Web"='03.Muestra'!$D$8:$D$42,ROW('03.Muestra'!$F$8:$F$42)-MIN(ROW('03.Muestra'!$D$8:$D$42))+1,""),ROW()-474)),"")</f>
        <v>https://www.comunidad.madrid/hospital/clinicosancarlos/profesionales/unidades-referencia-nacional-redes-europeas</v>
      </c>
      <c r="D481" s="130" t="s">
        <v>35</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Comunicación</v>
      </c>
      <c r="C482" s="114" t="str" cm="1">
        <f t="array" ref="C482">IFERROR(INDEX('03.Muestra'!$F$8:$F$42,SMALL(IF("Página Web"='03.Muestra'!$D$8:$D$42,ROW('03.Muestra'!$F$8:$F$42)-MIN(ROW('03.Muestra'!$D$8:$D$42))+1,""),ROW()-474)),"")</f>
        <v>https://www.comunidad.madrid/hospital/clinicosancarlos/comunicacion</v>
      </c>
      <c r="D482" s="130" t="s">
        <v>35</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Videoteca</v>
      </c>
      <c r="C483" s="114" t="str" cm="1">
        <f t="array" ref="C483">IFERROR(INDEX('03.Muestra'!$F$8:$F$42,SMALL(IF("Página Web"='03.Muestra'!$D$8:$D$42,ROW('03.Muestra'!$F$8:$F$42)-MIN(ROW('03.Muestra'!$D$8:$D$42))+1,""),ROW()-474)),"")</f>
        <v>https://www.comunidad.madrid/hospital/clinicosancarlos/comunicacion/videoteca</v>
      </c>
      <c r="D483" s="130" t="s">
        <v>35</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Noticias</v>
      </c>
      <c r="C484" s="114" t="str" cm="1">
        <f t="array" ref="C484">IFERROR(INDEX('03.Muestra'!$F$8:$F$42,SMALL(IF("Página Web"='03.Muestra'!$D$8:$D$42,ROW('03.Muestra'!$F$8:$F$42)-MIN(ROW('03.Muestra'!$D$8:$D$42))+1,""),ROW()-474)),"")</f>
        <v>https://www.comunidad.madrid/hospital/clinicosancarlos/comunicacion/noticias</v>
      </c>
      <c r="D484" s="130" t="s">
        <v>35</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Nosotros</v>
      </c>
      <c r="C485" s="114" t="str" cm="1">
        <f t="array" ref="C485">IFERROR(INDEX('03.Muestra'!$F$8:$F$42,SMALL(IF("Página Web"='03.Muestra'!$D$8:$D$42,ROW('03.Muestra'!$F$8:$F$42)-MIN(ROW('03.Muestra'!$D$8:$D$42))+1,""),ROW()-474)),"")</f>
        <v>https://www.comunidad.madrid/hospital/clinicosancarlos/nosotros</v>
      </c>
      <c r="D485" s="130" t="s">
        <v>35</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Gestión Ambiental</v>
      </c>
      <c r="C486" s="114" t="str" cm="1">
        <f t="array" ref="C486">IFERROR(INDEX('03.Muestra'!$F$8:$F$42,SMALL(IF("Página Web"='03.Muestra'!$D$8:$D$42,ROW('03.Muestra'!$F$8:$F$42)-MIN(ROW('03.Muestra'!$D$8:$D$42))+1,""),ROW()-474)),"")</f>
        <v>https://www.comunidad.madrid/hospital/clinicosancarlos/nosotros/gestion-ambiental</v>
      </c>
      <c r="D486" s="130" t="s">
        <v>35</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Proveedores</v>
      </c>
      <c r="C487" s="114" t="str" cm="1">
        <f t="array" ref="C487">IFERROR(INDEX('03.Muestra'!$F$8:$F$42,SMALL(IF("Página Web"='03.Muestra'!$D$8:$D$42,ROW('03.Muestra'!$F$8:$F$42)-MIN(ROW('03.Muestra'!$D$8:$D$42))+1,""),ROW()-474)),"")</f>
        <v>https://www.comunidad.madrid/hospital/clinicosancarlos/nosotros/proveedores-0</v>
      </c>
      <c r="D487" s="130" t="s">
        <v>35</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Aviso legal</v>
      </c>
      <c r="C488" s="114" t="str" cm="1">
        <f t="array" ref="C488">IFERROR(INDEX('03.Muestra'!$F$8:$F$42,SMALL(IF("Página Web"='03.Muestra'!$D$8:$D$42,ROW('03.Muestra'!$F$8:$F$42)-MIN(ROW('03.Muestra'!$D$8:$D$42))+1,""),ROW()-474)),"")</f>
        <v>https://www.comunidad.madrid/hospital/clinicosancarlos/aviso-legal-privacidad</v>
      </c>
      <c r="D488" s="130" t="s">
        <v>35</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Mapa web</v>
      </c>
      <c r="C489" s="114" t="str" cm="1">
        <f t="array" ref="C489">IFERROR(INDEX('03.Muestra'!$F$8:$F$42,SMALL(IF("Página Web"='03.Muestra'!$D$8:$D$42,ROW('03.Muestra'!$F$8:$F$42)-MIN(ROW('03.Muestra'!$D$8:$D$42))+1,""),ROW()-474)),"")</f>
        <v>https://www.comunidad.madrid/hospital/clinicosancarlos/sitemap</v>
      </c>
      <c r="D489" s="130" t="s">
        <v>35</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Accesibilidad</v>
      </c>
      <c r="C490" s="114" t="str" cm="1">
        <f t="array" ref="C490">IFERROR(INDEX('03.Muestra'!$F$8:$F$42,SMALL(IF("Página Web"='03.Muestra'!$D$8:$D$42,ROW('03.Muestra'!$F$8:$F$42)-MIN(ROW('03.Muestra'!$D$8:$D$42))+1,""),ROW()-474)),"")</f>
        <v>https://www.comunidad.madrid/hospital/clinicosancarlos/declaracion-accesibilidad</v>
      </c>
      <c r="D490" s="130" t="s">
        <v>35</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ref="D491:D509" si="25">IF(AND(B491&lt;&gt;"",C491&lt;&gt;""),"N/T","")</f>
        <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268</v>
      </c>
      <c r="B512" s="24" t="s">
        <v>90</v>
      </c>
      <c r="C512" s="25" t="s">
        <v>315</v>
      </c>
      <c r="D512" s="26" t="s">
        <v>32</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https://www.comunidad.madrid/hospital/clinicosancarlos/</v>
      </c>
      <c r="D513" s="130" t="s">
        <v>35</v>
      </c>
      <c r="E513" s="107" t="str">
        <f t="shared" ref="E513:E547" si="26">IF(D513&lt;&gt;"",IF(AND(B513&lt;&gt;"",C513&lt;&gt;""),"","ERR"),"")</f>
        <v/>
      </c>
      <c r="F513" s="115" t="s">
        <v>33</v>
      </c>
      <c r="G513" s="116" t="s">
        <v>37</v>
      </c>
      <c r="H513" s="117" t="s">
        <v>35</v>
      </c>
      <c r="I513" s="118" t="s">
        <v>28</v>
      </c>
      <c r="J513" s="119" t="s">
        <v>26</v>
      </c>
      <c r="K513" s="229"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https://www.comunidad.madrid/hospital/clinicosancarlos/ciudadanos</v>
      </c>
      <c r="D514" s="130" t="s">
        <v>35</v>
      </c>
      <c r="E514" s="107" t="str">
        <f t="shared" si="26"/>
        <v/>
      </c>
      <c r="F514" s="120">
        <f ca="1">COUNTIF($D513:INDIRECT("$D" &amp;  SUM(ROW()-1,'03.Muestra'!$D$45)-1),F513)</f>
        <v>0</v>
      </c>
      <c r="G514" s="120">
        <f ca="1">COUNTIF($D513:INDIRECT("$D" &amp;  SUM(ROW()-1,'03.Muestra'!$D$45)-1),G513)</f>
        <v>0</v>
      </c>
      <c r="H514" s="120">
        <f ca="1">COUNTIF($D513:INDIRECT("$D" &amp;  SUM(ROW()-1,'03.Muestra'!$D$45)-1),H513)</f>
        <v>16</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Consultas externas</v>
      </c>
      <c r="C515" s="114" t="str" cm="1">
        <f t="array" ref="C515">IFERROR(INDEX('03.Muestra'!$F$8:$F$42,SMALL(IF("Página Web"='03.Muestra'!$D$8:$D$42,ROW('03.Muestra'!$F$8:$F$42)-MIN(ROW('03.Muestra'!$D$8:$D$42))+1,""),ROW()-512)),"")</f>
        <v>https://www.comunidad.madrid/hospital/clinicosancarlos/ciudadanos/consultas-externas</v>
      </c>
      <c r="D515" s="130" t="s">
        <v>35</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Donación</v>
      </c>
      <c r="C516" s="114" t="str" cm="1">
        <f t="array" ref="C516">IFERROR(INDEX('03.Muestra'!$F$8:$F$42,SMALL(IF("Página Web"='03.Muestra'!$D$8:$D$42,ROW('03.Muestra'!$F$8:$F$42)-MIN(ROW('03.Muestra'!$D$8:$D$42))+1,""),ROW()-512)),"")</f>
        <v>https://www.comunidad.madrid/hospital/clinicosancarlos/ciudadanos/donacion-0</v>
      </c>
      <c r="D516" s="130" t="s">
        <v>35</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Profesionales</v>
      </c>
      <c r="C517" s="114" t="str" cm="1">
        <f t="array" ref="C517">IFERROR(INDEX('03.Muestra'!$F$8:$F$42,SMALL(IF("Página Web"='03.Muestra'!$D$8:$D$42,ROW('03.Muestra'!$F$8:$F$42)-MIN(ROW('03.Muestra'!$D$8:$D$42))+1,""),ROW()-512)),"")</f>
        <v>https://www.comunidad.madrid/hospital/clinicosancarlos/profesionales</v>
      </c>
      <c r="D517" s="130" t="s">
        <v>35</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Docencia</v>
      </c>
      <c r="C518" s="114" t="str" cm="1">
        <f t="array" ref="C518">IFERROR(INDEX('03.Muestra'!$F$8:$F$42,SMALL(IF("Página Web"='03.Muestra'!$D$8:$D$42,ROW('03.Muestra'!$F$8:$F$42)-MIN(ROW('03.Muestra'!$D$8:$D$42))+1,""),ROW()-512)),"")</f>
        <v>https://www.comunidad.madrid/hospital/clinicosancarlos/profesionales/docencia</v>
      </c>
      <c r="D518" s="130" t="s">
        <v>35</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Referencia</v>
      </c>
      <c r="C519" s="114" t="str" cm="1">
        <f t="array" ref="C519">IFERROR(INDEX('03.Muestra'!$F$8:$F$42,SMALL(IF("Página Web"='03.Muestra'!$D$8:$D$42,ROW('03.Muestra'!$F$8:$F$42)-MIN(ROW('03.Muestra'!$D$8:$D$42))+1,""),ROW()-512)),"")</f>
        <v>https://www.comunidad.madrid/hospital/clinicosancarlos/profesionales/unidades-referencia-nacional-redes-europeas</v>
      </c>
      <c r="D519" s="130" t="s">
        <v>35</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Comunicación</v>
      </c>
      <c r="C520" s="114" t="str" cm="1">
        <f t="array" ref="C520">IFERROR(INDEX('03.Muestra'!$F$8:$F$42,SMALL(IF("Página Web"='03.Muestra'!$D$8:$D$42,ROW('03.Muestra'!$F$8:$F$42)-MIN(ROW('03.Muestra'!$D$8:$D$42))+1,""),ROW()-512)),"")</f>
        <v>https://www.comunidad.madrid/hospital/clinicosancarlos/comunicacion</v>
      </c>
      <c r="D520" s="130" t="s">
        <v>35</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Videoteca</v>
      </c>
      <c r="C521" s="114" t="str" cm="1">
        <f t="array" ref="C521">IFERROR(INDEX('03.Muestra'!$F$8:$F$42,SMALL(IF("Página Web"='03.Muestra'!$D$8:$D$42,ROW('03.Muestra'!$F$8:$F$42)-MIN(ROW('03.Muestra'!$D$8:$D$42))+1,""),ROW()-512)),"")</f>
        <v>https://www.comunidad.madrid/hospital/clinicosancarlos/comunicacion/videoteca</v>
      </c>
      <c r="D521" s="130" t="s">
        <v>35</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Noticias</v>
      </c>
      <c r="C522" s="114" t="str" cm="1">
        <f t="array" ref="C522">IFERROR(INDEX('03.Muestra'!$F$8:$F$42,SMALL(IF("Página Web"='03.Muestra'!$D$8:$D$42,ROW('03.Muestra'!$F$8:$F$42)-MIN(ROW('03.Muestra'!$D$8:$D$42))+1,""),ROW()-512)),"")</f>
        <v>https://www.comunidad.madrid/hospital/clinicosancarlos/comunicacion/noticias</v>
      </c>
      <c r="D522" s="130" t="s">
        <v>35</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Nosotros</v>
      </c>
      <c r="C523" s="114" t="str" cm="1">
        <f t="array" ref="C523">IFERROR(INDEX('03.Muestra'!$F$8:$F$42,SMALL(IF("Página Web"='03.Muestra'!$D$8:$D$42,ROW('03.Muestra'!$F$8:$F$42)-MIN(ROW('03.Muestra'!$D$8:$D$42))+1,""),ROW()-512)),"")</f>
        <v>https://www.comunidad.madrid/hospital/clinicosancarlos/nosotros</v>
      </c>
      <c r="D523" s="130" t="s">
        <v>35</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Gestión Ambiental</v>
      </c>
      <c r="C524" s="114" t="str" cm="1">
        <f t="array" ref="C524">IFERROR(INDEX('03.Muestra'!$F$8:$F$42,SMALL(IF("Página Web"='03.Muestra'!$D$8:$D$42,ROW('03.Muestra'!$F$8:$F$42)-MIN(ROW('03.Muestra'!$D$8:$D$42))+1,""),ROW()-512)),"")</f>
        <v>https://www.comunidad.madrid/hospital/clinicosancarlos/nosotros/gestion-ambiental</v>
      </c>
      <c r="D524" s="130" t="s">
        <v>35</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Proveedores</v>
      </c>
      <c r="C525" s="114" t="str" cm="1">
        <f t="array" ref="C525">IFERROR(INDEX('03.Muestra'!$F$8:$F$42,SMALL(IF("Página Web"='03.Muestra'!$D$8:$D$42,ROW('03.Muestra'!$F$8:$F$42)-MIN(ROW('03.Muestra'!$D$8:$D$42))+1,""),ROW()-512)),"")</f>
        <v>https://www.comunidad.madrid/hospital/clinicosancarlos/nosotros/proveedores-0</v>
      </c>
      <c r="D525" s="130" t="s">
        <v>35</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Aviso legal</v>
      </c>
      <c r="C526" s="114" t="str" cm="1">
        <f t="array" ref="C526">IFERROR(INDEX('03.Muestra'!$F$8:$F$42,SMALL(IF("Página Web"='03.Muestra'!$D$8:$D$42,ROW('03.Muestra'!$F$8:$F$42)-MIN(ROW('03.Muestra'!$D$8:$D$42))+1,""),ROW()-512)),"")</f>
        <v>https://www.comunidad.madrid/hospital/clinicosancarlos/aviso-legal-privacidad</v>
      </c>
      <c r="D526" s="130" t="s">
        <v>35</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Mapa web</v>
      </c>
      <c r="C527" s="114" t="str" cm="1">
        <f t="array" ref="C527">IFERROR(INDEX('03.Muestra'!$F$8:$F$42,SMALL(IF("Página Web"='03.Muestra'!$D$8:$D$42,ROW('03.Muestra'!$F$8:$F$42)-MIN(ROW('03.Muestra'!$D$8:$D$42))+1,""),ROW()-512)),"")</f>
        <v>https://www.comunidad.madrid/hospital/clinicosancarlos/sitemap</v>
      </c>
      <c r="D527" s="130" t="s">
        <v>35</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Accesibilidad</v>
      </c>
      <c r="C528" s="114" t="str" cm="1">
        <f t="array" ref="C528">IFERROR(INDEX('03.Muestra'!$F$8:$F$42,SMALL(IF("Página Web"='03.Muestra'!$D$8:$D$42,ROW('03.Muestra'!$F$8:$F$42)-MIN(ROW('03.Muestra'!$D$8:$D$42))+1,""),ROW()-512)),"")</f>
        <v>https://www.comunidad.madrid/hospital/clinicosancarlos/declaracion-accesibilidad</v>
      </c>
      <c r="D528" s="130" t="s">
        <v>35</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ref="D529:D547" si="27">IF(AND(B529&lt;&gt;"",C529&lt;&gt;""),"N/T","")</f>
        <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268</v>
      </c>
      <c r="B550" s="24" t="s">
        <v>90</v>
      </c>
      <c r="C550" s="25" t="s">
        <v>369</v>
      </c>
      <c r="D550" s="26" t="s">
        <v>32</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https://www.comunidad.madrid/hospital/clinicosancarlos/</v>
      </c>
      <c r="D551" s="130" t="s">
        <v>35</v>
      </c>
      <c r="E551" s="107" t="str">
        <f t="shared" ref="E551:E585" si="28">IF(D551&lt;&gt;"",IF(AND(B551&lt;&gt;"",C551&lt;&gt;""),"","ERR"),"")</f>
        <v/>
      </c>
      <c r="F551" s="115" t="s">
        <v>33</v>
      </c>
      <c r="G551" s="116" t="s">
        <v>37</v>
      </c>
      <c r="H551" s="117" t="s">
        <v>35</v>
      </c>
      <c r="I551" s="118" t="s">
        <v>28</v>
      </c>
      <c r="J551" s="119" t="s">
        <v>26</v>
      </c>
      <c r="K551" s="229"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https://www.comunidad.madrid/hospital/clinicosancarlos/ciudadanos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16</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Consultas externas</v>
      </c>
      <c r="C553" s="114" t="str" cm="1">
        <f t="array" ref="C553">IFERROR(INDEX('03.Muestra'!$F$8:$F$42,SMALL(IF("Página Web"='03.Muestra'!$D$8:$D$42,ROW('03.Muestra'!$F$8:$F$42)-MIN(ROW('03.Muestra'!$D$8:$D$42))+1,""),ROW()-550)),"")</f>
        <v>https://www.comunidad.madrid/hospital/clinicosancarlos/ciudadanos/consultas-externas</v>
      </c>
      <c r="D553" s="130" t="s">
        <v>35</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Donación</v>
      </c>
      <c r="C554" s="114" t="str" cm="1">
        <f t="array" ref="C554">IFERROR(INDEX('03.Muestra'!$F$8:$F$42,SMALL(IF("Página Web"='03.Muestra'!$D$8:$D$42,ROW('03.Muestra'!$F$8:$F$42)-MIN(ROW('03.Muestra'!$D$8:$D$42))+1,""),ROW()-550)),"")</f>
        <v>https://www.comunidad.madrid/hospital/clinicosancarlos/ciudadanos/donacion-0</v>
      </c>
      <c r="D554" s="130" t="s">
        <v>35</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Profesionales</v>
      </c>
      <c r="C555" s="114" t="str" cm="1">
        <f t="array" ref="C555">IFERROR(INDEX('03.Muestra'!$F$8:$F$42,SMALL(IF("Página Web"='03.Muestra'!$D$8:$D$42,ROW('03.Muestra'!$F$8:$F$42)-MIN(ROW('03.Muestra'!$D$8:$D$42))+1,""),ROW()-550)),"")</f>
        <v>https://www.comunidad.madrid/hospital/clinicosancarlos/profesionales</v>
      </c>
      <c r="D555" s="130" t="s">
        <v>35</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Docencia</v>
      </c>
      <c r="C556" s="114" t="str" cm="1">
        <f t="array" ref="C556">IFERROR(INDEX('03.Muestra'!$F$8:$F$42,SMALL(IF("Página Web"='03.Muestra'!$D$8:$D$42,ROW('03.Muestra'!$F$8:$F$42)-MIN(ROW('03.Muestra'!$D$8:$D$42))+1,""),ROW()-550)),"")</f>
        <v>https://www.comunidad.madrid/hospital/clinicosancarlos/profesionales/docencia</v>
      </c>
      <c r="D556" s="130" t="s">
        <v>35</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Referencia</v>
      </c>
      <c r="C557" s="114" t="str" cm="1">
        <f t="array" ref="C557">IFERROR(INDEX('03.Muestra'!$F$8:$F$42,SMALL(IF("Página Web"='03.Muestra'!$D$8:$D$42,ROW('03.Muestra'!$F$8:$F$42)-MIN(ROW('03.Muestra'!$D$8:$D$42))+1,""),ROW()-550)),"")</f>
        <v>https://www.comunidad.madrid/hospital/clinicosancarlos/profesionales/unidades-referencia-nacional-redes-europeas</v>
      </c>
      <c r="D557" s="130" t="s">
        <v>35</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Comunicación</v>
      </c>
      <c r="C558" s="114" t="str" cm="1">
        <f t="array" ref="C558">IFERROR(INDEX('03.Muestra'!$F$8:$F$42,SMALL(IF("Página Web"='03.Muestra'!$D$8:$D$42,ROW('03.Muestra'!$F$8:$F$42)-MIN(ROW('03.Muestra'!$D$8:$D$42))+1,""),ROW()-550)),"")</f>
        <v>https://www.comunidad.madrid/hospital/clinicosancarlos/comunicacion</v>
      </c>
      <c r="D558" s="130" t="s">
        <v>35</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Videoteca</v>
      </c>
      <c r="C559" s="114" t="str" cm="1">
        <f t="array" ref="C559">IFERROR(INDEX('03.Muestra'!$F$8:$F$42,SMALL(IF("Página Web"='03.Muestra'!$D$8:$D$42,ROW('03.Muestra'!$F$8:$F$42)-MIN(ROW('03.Muestra'!$D$8:$D$42))+1,""),ROW()-550)),"")</f>
        <v>https://www.comunidad.madrid/hospital/clinicosancarlos/comunicacion/videoteca</v>
      </c>
      <c r="D559" s="130" t="s">
        <v>35</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Noticias</v>
      </c>
      <c r="C560" s="114" t="str" cm="1">
        <f t="array" ref="C560">IFERROR(INDEX('03.Muestra'!$F$8:$F$42,SMALL(IF("Página Web"='03.Muestra'!$D$8:$D$42,ROW('03.Muestra'!$F$8:$F$42)-MIN(ROW('03.Muestra'!$D$8:$D$42))+1,""),ROW()-550)),"")</f>
        <v>https://www.comunidad.madrid/hospital/clinicosancarlos/comunicacion/noticias</v>
      </c>
      <c r="D560" s="130" t="s">
        <v>35</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Nosotros</v>
      </c>
      <c r="C561" s="114" t="str" cm="1">
        <f t="array" ref="C561">IFERROR(INDEX('03.Muestra'!$F$8:$F$42,SMALL(IF("Página Web"='03.Muestra'!$D$8:$D$42,ROW('03.Muestra'!$F$8:$F$42)-MIN(ROW('03.Muestra'!$D$8:$D$42))+1,""),ROW()-550)),"")</f>
        <v>https://www.comunidad.madrid/hospital/clinicosancarlos/nosotros</v>
      </c>
      <c r="D561" s="130" t="s">
        <v>35</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Gestión Ambiental</v>
      </c>
      <c r="C562" s="114" t="str" cm="1">
        <f t="array" ref="C562">IFERROR(INDEX('03.Muestra'!$F$8:$F$42,SMALL(IF("Página Web"='03.Muestra'!$D$8:$D$42,ROW('03.Muestra'!$F$8:$F$42)-MIN(ROW('03.Muestra'!$D$8:$D$42))+1,""),ROW()-550)),"")</f>
        <v>https://www.comunidad.madrid/hospital/clinicosancarlos/nosotros/gestion-ambiental</v>
      </c>
      <c r="D562" s="130" t="s">
        <v>35</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Proveedores</v>
      </c>
      <c r="C563" s="114" t="str" cm="1">
        <f t="array" ref="C563">IFERROR(INDEX('03.Muestra'!$F$8:$F$42,SMALL(IF("Página Web"='03.Muestra'!$D$8:$D$42,ROW('03.Muestra'!$F$8:$F$42)-MIN(ROW('03.Muestra'!$D$8:$D$42))+1,""),ROW()-550)),"")</f>
        <v>https://www.comunidad.madrid/hospital/clinicosancarlos/nosotros/proveedores-0</v>
      </c>
      <c r="D563" s="130" t="s">
        <v>35</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Aviso legal</v>
      </c>
      <c r="C564" s="114" t="str" cm="1">
        <f t="array" ref="C564">IFERROR(INDEX('03.Muestra'!$F$8:$F$42,SMALL(IF("Página Web"='03.Muestra'!$D$8:$D$42,ROW('03.Muestra'!$F$8:$F$42)-MIN(ROW('03.Muestra'!$D$8:$D$42))+1,""),ROW()-550)),"")</f>
        <v>https://www.comunidad.madrid/hospital/clinicosancarlos/aviso-legal-privacidad</v>
      </c>
      <c r="D564" s="130" t="s">
        <v>35</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Mapa web</v>
      </c>
      <c r="C565" s="114" t="str" cm="1">
        <f t="array" ref="C565">IFERROR(INDEX('03.Muestra'!$F$8:$F$42,SMALL(IF("Página Web"='03.Muestra'!$D$8:$D$42,ROW('03.Muestra'!$F$8:$F$42)-MIN(ROW('03.Muestra'!$D$8:$D$42))+1,""),ROW()-550)),"")</f>
        <v>https://www.comunidad.madrid/hospital/clinicosancarlos/sitemap</v>
      </c>
      <c r="D565" s="130" t="s">
        <v>35</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Accesibilidad</v>
      </c>
      <c r="C566" s="114" t="str" cm="1">
        <f t="array" ref="C566">IFERROR(INDEX('03.Muestra'!$F$8:$F$42,SMALL(IF("Página Web"='03.Muestra'!$D$8:$D$42,ROW('03.Muestra'!$F$8:$F$42)-MIN(ROW('03.Muestra'!$D$8:$D$42))+1,""),ROW()-550)),"")</f>
        <v>https://www.comunidad.madrid/hospital/clinicosancarlos/declaracion-accesibilidad</v>
      </c>
      <c r="D566" s="130" t="s">
        <v>35</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ref="D567:D585" si="29">IF(AND(B567&lt;&gt;"",C567&lt;&gt;""),"N/T","")</f>
        <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268</v>
      </c>
      <c r="B588" s="24" t="s">
        <v>90</v>
      </c>
      <c r="C588" s="25" t="s">
        <v>370</v>
      </c>
      <c r="D588" s="26" t="s">
        <v>32</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https://www.comunidad.madrid/hospital/clinicosancarlos/</v>
      </c>
      <c r="D589" s="130" t="s">
        <v>35</v>
      </c>
      <c r="E589" s="107" t="str">
        <f t="shared" ref="E589:E623" si="30">IF(D589&lt;&gt;"",IF(AND(B589&lt;&gt;"",C589&lt;&gt;""),"","ERR"),"")</f>
        <v/>
      </c>
      <c r="F589" s="115" t="s">
        <v>33</v>
      </c>
      <c r="G589" s="116" t="s">
        <v>37</v>
      </c>
      <c r="H589" s="117" t="s">
        <v>35</v>
      </c>
      <c r="I589" s="118" t="s">
        <v>28</v>
      </c>
      <c r="J589" s="119" t="s">
        <v>26</v>
      </c>
      <c r="K589" s="229"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https://www.comunidad.madrid/hospital/clinicosancarlos/ciudadanos</v>
      </c>
      <c r="D590" s="130" t="s">
        <v>35</v>
      </c>
      <c r="E590" s="107" t="str">
        <f t="shared" si="30"/>
        <v/>
      </c>
      <c r="F590" s="120">
        <f ca="1">COUNTIF($D589:INDIRECT("$D" &amp;  SUM(ROW()-1,'03.Muestra'!$D$45)-1),F589)</f>
        <v>0</v>
      </c>
      <c r="G590" s="120">
        <f ca="1">COUNTIF($D589:INDIRECT("$D" &amp;  SUM(ROW()-1,'03.Muestra'!$D$45)-1),G589)</f>
        <v>0</v>
      </c>
      <c r="H590" s="120">
        <f ca="1">COUNTIF($D589:INDIRECT("$D" &amp;  SUM(ROW()-1,'03.Muestra'!$D$45)-1),H589)</f>
        <v>16</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Consultas externas</v>
      </c>
      <c r="C591" s="114" t="str" cm="1">
        <f t="array" ref="C591">IFERROR(INDEX('03.Muestra'!$F$8:$F$42,SMALL(IF("Página Web"='03.Muestra'!$D$8:$D$42,ROW('03.Muestra'!$F$8:$F$42)-MIN(ROW('03.Muestra'!$D$8:$D$42))+1,""),ROW()-588)),"")</f>
        <v>https://www.comunidad.madrid/hospital/clinicosancarlos/ciudadanos/consultas-externas</v>
      </c>
      <c r="D591" s="130" t="s">
        <v>35</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Donación</v>
      </c>
      <c r="C592" s="114" t="str" cm="1">
        <f t="array" ref="C592">IFERROR(INDEX('03.Muestra'!$F$8:$F$42,SMALL(IF("Página Web"='03.Muestra'!$D$8:$D$42,ROW('03.Muestra'!$F$8:$F$42)-MIN(ROW('03.Muestra'!$D$8:$D$42))+1,""),ROW()-588)),"")</f>
        <v>https://www.comunidad.madrid/hospital/clinicosancarlos/ciudadanos/donacion-0</v>
      </c>
      <c r="D592" s="130" t="s">
        <v>35</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Profesionales</v>
      </c>
      <c r="C593" s="114" t="str" cm="1">
        <f t="array" ref="C593">IFERROR(INDEX('03.Muestra'!$F$8:$F$42,SMALL(IF("Página Web"='03.Muestra'!$D$8:$D$42,ROW('03.Muestra'!$F$8:$F$42)-MIN(ROW('03.Muestra'!$D$8:$D$42))+1,""),ROW()-588)),"")</f>
        <v>https://www.comunidad.madrid/hospital/clinicosancarlos/profesionales</v>
      </c>
      <c r="D593" s="130" t="s">
        <v>35</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Docencia</v>
      </c>
      <c r="C594" s="114" t="str" cm="1">
        <f t="array" ref="C594">IFERROR(INDEX('03.Muestra'!$F$8:$F$42,SMALL(IF("Página Web"='03.Muestra'!$D$8:$D$42,ROW('03.Muestra'!$F$8:$F$42)-MIN(ROW('03.Muestra'!$D$8:$D$42))+1,""),ROW()-588)),"")</f>
        <v>https://www.comunidad.madrid/hospital/clinicosancarlos/profesionales/docencia</v>
      </c>
      <c r="D594" s="130" t="s">
        <v>35</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Referencia</v>
      </c>
      <c r="C595" s="114" t="str" cm="1">
        <f t="array" ref="C595">IFERROR(INDEX('03.Muestra'!$F$8:$F$42,SMALL(IF("Página Web"='03.Muestra'!$D$8:$D$42,ROW('03.Muestra'!$F$8:$F$42)-MIN(ROW('03.Muestra'!$D$8:$D$42))+1,""),ROW()-588)),"")</f>
        <v>https://www.comunidad.madrid/hospital/clinicosancarlos/profesionales/unidades-referencia-nacional-redes-europeas</v>
      </c>
      <c r="D595" s="130" t="s">
        <v>35</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Comunicación</v>
      </c>
      <c r="C596" s="114" t="str" cm="1">
        <f t="array" ref="C596">IFERROR(INDEX('03.Muestra'!$F$8:$F$42,SMALL(IF("Página Web"='03.Muestra'!$D$8:$D$42,ROW('03.Muestra'!$F$8:$F$42)-MIN(ROW('03.Muestra'!$D$8:$D$42))+1,""),ROW()-588)),"")</f>
        <v>https://www.comunidad.madrid/hospital/clinicosancarlos/comunicacion</v>
      </c>
      <c r="D596" s="130" t="s">
        <v>35</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Videoteca</v>
      </c>
      <c r="C597" s="114" t="str" cm="1">
        <f t="array" ref="C597">IFERROR(INDEX('03.Muestra'!$F$8:$F$42,SMALL(IF("Página Web"='03.Muestra'!$D$8:$D$42,ROW('03.Muestra'!$F$8:$F$42)-MIN(ROW('03.Muestra'!$D$8:$D$42))+1,""),ROW()-588)),"")</f>
        <v>https://www.comunidad.madrid/hospital/clinicosancarlos/comunicacion/videoteca</v>
      </c>
      <c r="D597" s="130" t="s">
        <v>35</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Noticias</v>
      </c>
      <c r="C598" s="114" t="str" cm="1">
        <f t="array" ref="C598">IFERROR(INDEX('03.Muestra'!$F$8:$F$42,SMALL(IF("Página Web"='03.Muestra'!$D$8:$D$42,ROW('03.Muestra'!$F$8:$F$42)-MIN(ROW('03.Muestra'!$D$8:$D$42))+1,""),ROW()-588)),"")</f>
        <v>https://www.comunidad.madrid/hospital/clinicosancarlos/comunicacion/noticias</v>
      </c>
      <c r="D598" s="130" t="s">
        <v>35</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Nosotros</v>
      </c>
      <c r="C599" s="114" t="str" cm="1">
        <f t="array" ref="C599">IFERROR(INDEX('03.Muestra'!$F$8:$F$42,SMALL(IF("Página Web"='03.Muestra'!$D$8:$D$42,ROW('03.Muestra'!$F$8:$F$42)-MIN(ROW('03.Muestra'!$D$8:$D$42))+1,""),ROW()-588)),"")</f>
        <v>https://www.comunidad.madrid/hospital/clinicosancarlos/nosotros</v>
      </c>
      <c r="D599" s="130" t="s">
        <v>35</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Gestión Ambiental</v>
      </c>
      <c r="C600" s="114" t="str" cm="1">
        <f t="array" ref="C600">IFERROR(INDEX('03.Muestra'!$F$8:$F$42,SMALL(IF("Página Web"='03.Muestra'!$D$8:$D$42,ROW('03.Muestra'!$F$8:$F$42)-MIN(ROW('03.Muestra'!$D$8:$D$42))+1,""),ROW()-588)),"")</f>
        <v>https://www.comunidad.madrid/hospital/clinicosancarlos/nosotros/gestion-ambiental</v>
      </c>
      <c r="D600" s="130" t="s">
        <v>35</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Proveedores</v>
      </c>
      <c r="C601" s="114" t="str" cm="1">
        <f t="array" ref="C601">IFERROR(INDEX('03.Muestra'!$F$8:$F$42,SMALL(IF("Página Web"='03.Muestra'!$D$8:$D$42,ROW('03.Muestra'!$F$8:$F$42)-MIN(ROW('03.Muestra'!$D$8:$D$42))+1,""),ROW()-588)),"")</f>
        <v>https://www.comunidad.madrid/hospital/clinicosancarlos/nosotros/proveedores-0</v>
      </c>
      <c r="D601" s="130" t="s">
        <v>35</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Aviso legal</v>
      </c>
      <c r="C602" s="114" t="str" cm="1">
        <f t="array" ref="C602">IFERROR(INDEX('03.Muestra'!$F$8:$F$42,SMALL(IF("Página Web"='03.Muestra'!$D$8:$D$42,ROW('03.Muestra'!$F$8:$F$42)-MIN(ROW('03.Muestra'!$D$8:$D$42))+1,""),ROW()-588)),"")</f>
        <v>https://www.comunidad.madrid/hospital/clinicosancarlos/aviso-legal-privacidad</v>
      </c>
      <c r="D602" s="130" t="s">
        <v>35</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Mapa web</v>
      </c>
      <c r="C603" s="114" t="str" cm="1">
        <f t="array" ref="C603">IFERROR(INDEX('03.Muestra'!$F$8:$F$42,SMALL(IF("Página Web"='03.Muestra'!$D$8:$D$42,ROW('03.Muestra'!$F$8:$F$42)-MIN(ROW('03.Muestra'!$D$8:$D$42))+1,""),ROW()-588)),"")</f>
        <v>https://www.comunidad.madrid/hospital/clinicosancarlos/sitemap</v>
      </c>
      <c r="D603" s="130" t="s">
        <v>35</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Accesibilidad</v>
      </c>
      <c r="C604" s="114" t="str" cm="1">
        <f t="array" ref="C604">IFERROR(INDEX('03.Muestra'!$F$8:$F$42,SMALL(IF("Página Web"='03.Muestra'!$D$8:$D$42,ROW('03.Muestra'!$F$8:$F$42)-MIN(ROW('03.Muestra'!$D$8:$D$42))+1,""),ROW()-588)),"")</f>
        <v>https://www.comunidad.madrid/hospital/clinicosancarlos/declaracion-accesibilidad</v>
      </c>
      <c r="D604" s="130" t="s">
        <v>35</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ref="D605:D623" si="31">IF(AND(B605&lt;&gt;"",C605&lt;&gt;""),"N/T","")</f>
        <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268</v>
      </c>
      <c r="B626" s="24" t="s">
        <v>90</v>
      </c>
      <c r="C626" s="25" t="s">
        <v>316</v>
      </c>
      <c r="D626" s="26" t="s">
        <v>32</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https://www.comunidad.madrid/hospital/clinicosancarlos/</v>
      </c>
      <c r="D627" s="130" t="s">
        <v>35</v>
      </c>
      <c r="E627" s="107" t="str">
        <f t="shared" ref="E627:E661" si="32">IF(D627&lt;&gt;"",IF(AND(B627&lt;&gt;"",C627&lt;&gt;""),"","ERR"),"")</f>
        <v/>
      </c>
      <c r="F627" s="115" t="s">
        <v>33</v>
      </c>
      <c r="G627" s="116" t="s">
        <v>37</v>
      </c>
      <c r="H627" s="117" t="s">
        <v>35</v>
      </c>
      <c r="I627" s="118" t="s">
        <v>28</v>
      </c>
      <c r="J627" s="119" t="s">
        <v>26</v>
      </c>
      <c r="K627" s="229"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https://www.comunidad.madrid/hospital/clinicosancarlos/ciudadanos</v>
      </c>
      <c r="D628" s="130" t="s">
        <v>35</v>
      </c>
      <c r="E628" s="107" t="str">
        <f t="shared" si="32"/>
        <v/>
      </c>
      <c r="F628" s="120">
        <f ca="1">COUNTIF($D627:INDIRECT("$D" &amp;  SUM(ROW()-1,'03.Muestra'!$D$45)-1),F627)</f>
        <v>0</v>
      </c>
      <c r="G628" s="120">
        <f ca="1">COUNTIF($D627:INDIRECT("$D" &amp;  SUM(ROW()-1,'03.Muestra'!$D$45)-1),G627)</f>
        <v>0</v>
      </c>
      <c r="H628" s="120">
        <f ca="1">COUNTIF($D627:INDIRECT("$D" &amp;  SUM(ROW()-1,'03.Muestra'!$D$45)-1),H627)</f>
        <v>16</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Consultas externas</v>
      </c>
      <c r="C629" s="114" t="str" cm="1">
        <f t="array" ref="C629">IFERROR(INDEX('03.Muestra'!$F$8:$F$42,SMALL(IF("Página Web"='03.Muestra'!$D$8:$D$42,ROW('03.Muestra'!$F$8:$F$42)-MIN(ROW('03.Muestra'!$D$8:$D$42))+1,""),ROW()-626)),"")</f>
        <v>https://www.comunidad.madrid/hospital/clinicosancarlos/ciudadanos/consultas-externas</v>
      </c>
      <c r="D629" s="130" t="s">
        <v>35</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Donación</v>
      </c>
      <c r="C630" s="114" t="str" cm="1">
        <f t="array" ref="C630">IFERROR(INDEX('03.Muestra'!$F$8:$F$42,SMALL(IF("Página Web"='03.Muestra'!$D$8:$D$42,ROW('03.Muestra'!$F$8:$F$42)-MIN(ROW('03.Muestra'!$D$8:$D$42))+1,""),ROW()-626)),"")</f>
        <v>https://www.comunidad.madrid/hospital/clinicosancarlos/ciudadanos/donacion-0</v>
      </c>
      <c r="D630" s="130" t="s">
        <v>35</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Profesionales</v>
      </c>
      <c r="C631" s="114" t="str" cm="1">
        <f t="array" ref="C631">IFERROR(INDEX('03.Muestra'!$F$8:$F$42,SMALL(IF("Página Web"='03.Muestra'!$D$8:$D$42,ROW('03.Muestra'!$F$8:$F$42)-MIN(ROW('03.Muestra'!$D$8:$D$42))+1,""),ROW()-626)),"")</f>
        <v>https://www.comunidad.madrid/hospital/clinicosancarlos/profesionales</v>
      </c>
      <c r="D631" s="130" t="s">
        <v>35</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Docencia</v>
      </c>
      <c r="C632" s="114" t="str" cm="1">
        <f t="array" ref="C632">IFERROR(INDEX('03.Muestra'!$F$8:$F$42,SMALL(IF("Página Web"='03.Muestra'!$D$8:$D$42,ROW('03.Muestra'!$F$8:$F$42)-MIN(ROW('03.Muestra'!$D$8:$D$42))+1,""),ROW()-626)),"")</f>
        <v>https://www.comunidad.madrid/hospital/clinicosancarlos/profesionales/docencia</v>
      </c>
      <c r="D632" s="130" t="s">
        <v>35</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Referencia</v>
      </c>
      <c r="C633" s="114" t="str" cm="1">
        <f t="array" ref="C633">IFERROR(INDEX('03.Muestra'!$F$8:$F$42,SMALL(IF("Página Web"='03.Muestra'!$D$8:$D$42,ROW('03.Muestra'!$F$8:$F$42)-MIN(ROW('03.Muestra'!$D$8:$D$42))+1,""),ROW()-626)),"")</f>
        <v>https://www.comunidad.madrid/hospital/clinicosancarlos/profesionales/unidades-referencia-nacional-redes-europeas</v>
      </c>
      <c r="D633" s="130" t="s">
        <v>35</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Comunicación</v>
      </c>
      <c r="C634" s="114" t="str" cm="1">
        <f t="array" ref="C634">IFERROR(INDEX('03.Muestra'!$F$8:$F$42,SMALL(IF("Página Web"='03.Muestra'!$D$8:$D$42,ROW('03.Muestra'!$F$8:$F$42)-MIN(ROW('03.Muestra'!$D$8:$D$42))+1,""),ROW()-626)),"")</f>
        <v>https://www.comunidad.madrid/hospital/clinicosancarlos/comunicacion</v>
      </c>
      <c r="D634" s="130" t="s">
        <v>35</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Videoteca</v>
      </c>
      <c r="C635" s="114" t="str" cm="1">
        <f t="array" ref="C635">IFERROR(INDEX('03.Muestra'!$F$8:$F$42,SMALL(IF("Página Web"='03.Muestra'!$D$8:$D$42,ROW('03.Muestra'!$F$8:$F$42)-MIN(ROW('03.Muestra'!$D$8:$D$42))+1,""),ROW()-626)),"")</f>
        <v>https://www.comunidad.madrid/hospital/clinicosancarlos/comunicacion/videoteca</v>
      </c>
      <c r="D635" s="130" t="s">
        <v>35</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Noticias</v>
      </c>
      <c r="C636" s="114" t="str" cm="1">
        <f t="array" ref="C636">IFERROR(INDEX('03.Muestra'!$F$8:$F$42,SMALL(IF("Página Web"='03.Muestra'!$D$8:$D$42,ROW('03.Muestra'!$F$8:$F$42)-MIN(ROW('03.Muestra'!$D$8:$D$42))+1,""),ROW()-626)),"")</f>
        <v>https://www.comunidad.madrid/hospital/clinicosancarlos/comunicacion/noticias</v>
      </c>
      <c r="D636" s="130" t="s">
        <v>35</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Nosotros</v>
      </c>
      <c r="C637" s="114" t="str" cm="1">
        <f t="array" ref="C637">IFERROR(INDEX('03.Muestra'!$F$8:$F$42,SMALL(IF("Página Web"='03.Muestra'!$D$8:$D$42,ROW('03.Muestra'!$F$8:$F$42)-MIN(ROW('03.Muestra'!$D$8:$D$42))+1,""),ROW()-626)),"")</f>
        <v>https://www.comunidad.madrid/hospital/clinicosancarlos/nosotros</v>
      </c>
      <c r="D637" s="130" t="s">
        <v>35</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Gestión Ambiental</v>
      </c>
      <c r="C638" s="114" t="str" cm="1">
        <f t="array" ref="C638">IFERROR(INDEX('03.Muestra'!$F$8:$F$42,SMALL(IF("Página Web"='03.Muestra'!$D$8:$D$42,ROW('03.Muestra'!$F$8:$F$42)-MIN(ROW('03.Muestra'!$D$8:$D$42))+1,""),ROW()-626)),"")</f>
        <v>https://www.comunidad.madrid/hospital/clinicosancarlos/nosotros/gestion-ambiental</v>
      </c>
      <c r="D638" s="130" t="s">
        <v>35</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Proveedores</v>
      </c>
      <c r="C639" s="114" t="str" cm="1">
        <f t="array" ref="C639">IFERROR(INDEX('03.Muestra'!$F$8:$F$42,SMALL(IF("Página Web"='03.Muestra'!$D$8:$D$42,ROW('03.Muestra'!$F$8:$F$42)-MIN(ROW('03.Muestra'!$D$8:$D$42))+1,""),ROW()-626)),"")</f>
        <v>https://www.comunidad.madrid/hospital/clinicosancarlos/nosotros/proveedores-0</v>
      </c>
      <c r="D639" s="130" t="s">
        <v>35</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Aviso legal</v>
      </c>
      <c r="C640" s="114" t="str" cm="1">
        <f t="array" ref="C640">IFERROR(INDEX('03.Muestra'!$F$8:$F$42,SMALL(IF("Página Web"='03.Muestra'!$D$8:$D$42,ROW('03.Muestra'!$F$8:$F$42)-MIN(ROW('03.Muestra'!$D$8:$D$42))+1,""),ROW()-626)),"")</f>
        <v>https://www.comunidad.madrid/hospital/clinicosancarlos/aviso-legal-privacidad</v>
      </c>
      <c r="D640" s="130" t="s">
        <v>35</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Mapa web</v>
      </c>
      <c r="C641" s="114" t="str" cm="1">
        <f t="array" ref="C641">IFERROR(INDEX('03.Muestra'!$F$8:$F$42,SMALL(IF("Página Web"='03.Muestra'!$D$8:$D$42,ROW('03.Muestra'!$F$8:$F$42)-MIN(ROW('03.Muestra'!$D$8:$D$42))+1,""),ROW()-626)),"")</f>
        <v>https://www.comunidad.madrid/hospital/clinicosancarlos/sitemap</v>
      </c>
      <c r="D641" s="130" t="s">
        <v>35</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Accesibilidad</v>
      </c>
      <c r="C642" s="114" t="str" cm="1">
        <f t="array" ref="C642">IFERROR(INDEX('03.Muestra'!$F$8:$F$42,SMALL(IF("Página Web"='03.Muestra'!$D$8:$D$42,ROW('03.Muestra'!$F$8:$F$42)-MIN(ROW('03.Muestra'!$D$8:$D$42))+1,""),ROW()-626)),"")</f>
        <v>https://www.comunidad.madrid/hospital/clinicosancarlos/declaracion-accesibilidad</v>
      </c>
      <c r="D642" s="130" t="s">
        <v>35</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ref="D643:D661" si="33">IF(AND(B643&lt;&gt;"",C643&lt;&gt;""),"N/T","")</f>
        <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268</v>
      </c>
      <c r="B664" s="24" t="s">
        <v>90</v>
      </c>
      <c r="C664" s="217" t="s">
        <v>317</v>
      </c>
      <c r="D664" s="26" t="s">
        <v>32</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https://www.comunidad.madrid/hospital/clinicosancarlos/</v>
      </c>
      <c r="D665" s="130" t="s">
        <v>35</v>
      </c>
      <c r="E665" s="107" t="str">
        <f t="shared" ref="E665:E699" si="34">IF(D665&lt;&gt;"",IF(AND(B665&lt;&gt;"",C665&lt;&gt;""),"","ERR"),"")</f>
        <v/>
      </c>
      <c r="F665" s="115" t="s">
        <v>33</v>
      </c>
      <c r="G665" s="116" t="s">
        <v>37</v>
      </c>
      <c r="H665" s="117" t="s">
        <v>35</v>
      </c>
      <c r="I665" s="118" t="s">
        <v>28</v>
      </c>
      <c r="J665" s="119" t="s">
        <v>26</v>
      </c>
      <c r="K665" s="229"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https://www.comunidad.madrid/hospital/clinicosancarlos/ciudadanos</v>
      </c>
      <c r="D666" s="130" t="s">
        <v>35</v>
      </c>
      <c r="E666" s="107" t="str">
        <f t="shared" si="34"/>
        <v/>
      </c>
      <c r="F666" s="120">
        <f ca="1">COUNTIF($D665:INDIRECT("$D" &amp;  SUM(ROW()-1,'03.Muestra'!$D$45)-1),F665)</f>
        <v>0</v>
      </c>
      <c r="G666" s="120">
        <f ca="1">COUNTIF($D665:INDIRECT("$D" &amp;  SUM(ROW()-1,'03.Muestra'!$D$45)-1),G665)</f>
        <v>0</v>
      </c>
      <c r="H666" s="120">
        <f ca="1">COUNTIF($D665:INDIRECT("$D" &amp;  SUM(ROW()-1,'03.Muestra'!$D$45)-1),H665)</f>
        <v>16</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Consultas externas</v>
      </c>
      <c r="C667" s="114" t="str" cm="1">
        <f t="array" ref="C667">IFERROR(INDEX('03.Muestra'!$F$8:$F$42,SMALL(IF("Página Web"='03.Muestra'!$D$8:$D$42,ROW('03.Muestra'!$F$8:$F$42)-MIN(ROW('03.Muestra'!$D$8:$D$42))+1,""),ROW()-664)),"")</f>
        <v>https://www.comunidad.madrid/hospital/clinicosancarlos/ciudadanos/consultas-externas</v>
      </c>
      <c r="D667" s="130" t="s">
        <v>35</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Donación</v>
      </c>
      <c r="C668" s="114" t="str" cm="1">
        <f t="array" ref="C668">IFERROR(INDEX('03.Muestra'!$F$8:$F$42,SMALL(IF("Página Web"='03.Muestra'!$D$8:$D$42,ROW('03.Muestra'!$F$8:$F$42)-MIN(ROW('03.Muestra'!$D$8:$D$42))+1,""),ROW()-664)),"")</f>
        <v>https://www.comunidad.madrid/hospital/clinicosancarlos/ciudadanos/donacion-0</v>
      </c>
      <c r="D668" s="130" t="s">
        <v>35</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Profesionales</v>
      </c>
      <c r="C669" s="114" t="str" cm="1">
        <f t="array" ref="C669">IFERROR(INDEX('03.Muestra'!$F$8:$F$42,SMALL(IF("Página Web"='03.Muestra'!$D$8:$D$42,ROW('03.Muestra'!$F$8:$F$42)-MIN(ROW('03.Muestra'!$D$8:$D$42))+1,""),ROW()-664)),"")</f>
        <v>https://www.comunidad.madrid/hospital/clinicosancarlos/profesionales</v>
      </c>
      <c r="D669" s="130" t="s">
        <v>35</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Docencia</v>
      </c>
      <c r="C670" s="114" t="str" cm="1">
        <f t="array" ref="C670">IFERROR(INDEX('03.Muestra'!$F$8:$F$42,SMALL(IF("Página Web"='03.Muestra'!$D$8:$D$42,ROW('03.Muestra'!$F$8:$F$42)-MIN(ROW('03.Muestra'!$D$8:$D$42))+1,""),ROW()-664)),"")</f>
        <v>https://www.comunidad.madrid/hospital/clinicosancarlos/profesionales/docencia</v>
      </c>
      <c r="D670" s="130" t="s">
        <v>35</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Referencia</v>
      </c>
      <c r="C671" s="114" t="str" cm="1">
        <f t="array" ref="C671">IFERROR(INDEX('03.Muestra'!$F$8:$F$42,SMALL(IF("Página Web"='03.Muestra'!$D$8:$D$42,ROW('03.Muestra'!$F$8:$F$42)-MIN(ROW('03.Muestra'!$D$8:$D$42))+1,""),ROW()-664)),"")</f>
        <v>https://www.comunidad.madrid/hospital/clinicosancarlos/profesionales/unidades-referencia-nacional-redes-europeas</v>
      </c>
      <c r="D671" s="130" t="s">
        <v>35</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Comunicación</v>
      </c>
      <c r="C672" s="114" t="str" cm="1">
        <f t="array" ref="C672">IFERROR(INDEX('03.Muestra'!$F$8:$F$42,SMALL(IF("Página Web"='03.Muestra'!$D$8:$D$42,ROW('03.Muestra'!$F$8:$F$42)-MIN(ROW('03.Muestra'!$D$8:$D$42))+1,""),ROW()-664)),"")</f>
        <v>https://www.comunidad.madrid/hospital/clinicosancarlos/comunicacion</v>
      </c>
      <c r="D672" s="130" t="s">
        <v>35</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Videoteca</v>
      </c>
      <c r="C673" s="114" t="str" cm="1">
        <f t="array" ref="C673">IFERROR(INDEX('03.Muestra'!$F$8:$F$42,SMALL(IF("Página Web"='03.Muestra'!$D$8:$D$42,ROW('03.Muestra'!$F$8:$F$42)-MIN(ROW('03.Muestra'!$D$8:$D$42))+1,""),ROW()-664)),"")</f>
        <v>https://www.comunidad.madrid/hospital/clinicosancarlos/comunicacion/videoteca</v>
      </c>
      <c r="D673" s="130" t="s">
        <v>35</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Noticias</v>
      </c>
      <c r="C674" s="114" t="str" cm="1">
        <f t="array" ref="C674">IFERROR(INDEX('03.Muestra'!$F$8:$F$42,SMALL(IF("Página Web"='03.Muestra'!$D$8:$D$42,ROW('03.Muestra'!$F$8:$F$42)-MIN(ROW('03.Muestra'!$D$8:$D$42))+1,""),ROW()-664)),"")</f>
        <v>https://www.comunidad.madrid/hospital/clinicosancarlos/comunicacion/noticias</v>
      </c>
      <c r="D674" s="130" t="s">
        <v>35</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Nosotros</v>
      </c>
      <c r="C675" s="114" t="str" cm="1">
        <f t="array" ref="C675">IFERROR(INDEX('03.Muestra'!$F$8:$F$42,SMALL(IF("Página Web"='03.Muestra'!$D$8:$D$42,ROW('03.Muestra'!$F$8:$F$42)-MIN(ROW('03.Muestra'!$D$8:$D$42))+1,""),ROW()-664)),"")</f>
        <v>https://www.comunidad.madrid/hospital/clinicosancarlos/nosotros</v>
      </c>
      <c r="D675" s="130" t="s">
        <v>35</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Gestión Ambiental</v>
      </c>
      <c r="C676" s="114" t="str" cm="1">
        <f t="array" ref="C676">IFERROR(INDEX('03.Muestra'!$F$8:$F$42,SMALL(IF("Página Web"='03.Muestra'!$D$8:$D$42,ROW('03.Muestra'!$F$8:$F$42)-MIN(ROW('03.Muestra'!$D$8:$D$42))+1,""),ROW()-664)),"")</f>
        <v>https://www.comunidad.madrid/hospital/clinicosancarlos/nosotros/gestion-ambiental</v>
      </c>
      <c r="D676" s="130" t="s">
        <v>35</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Proveedores</v>
      </c>
      <c r="C677" s="114" t="str" cm="1">
        <f t="array" ref="C677">IFERROR(INDEX('03.Muestra'!$F$8:$F$42,SMALL(IF("Página Web"='03.Muestra'!$D$8:$D$42,ROW('03.Muestra'!$F$8:$F$42)-MIN(ROW('03.Muestra'!$D$8:$D$42))+1,""),ROW()-664)),"")</f>
        <v>https://www.comunidad.madrid/hospital/clinicosancarlos/nosotros/proveedores-0</v>
      </c>
      <c r="D677" s="130" t="s">
        <v>35</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Aviso legal</v>
      </c>
      <c r="C678" s="114" t="str" cm="1">
        <f t="array" ref="C678">IFERROR(INDEX('03.Muestra'!$F$8:$F$42,SMALL(IF("Página Web"='03.Muestra'!$D$8:$D$42,ROW('03.Muestra'!$F$8:$F$42)-MIN(ROW('03.Muestra'!$D$8:$D$42))+1,""),ROW()-664)),"")</f>
        <v>https://www.comunidad.madrid/hospital/clinicosancarlos/aviso-legal-privacidad</v>
      </c>
      <c r="D678" s="130" t="s">
        <v>35</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Mapa web</v>
      </c>
      <c r="C679" s="114" t="str" cm="1">
        <f t="array" ref="C679">IFERROR(INDEX('03.Muestra'!$F$8:$F$42,SMALL(IF("Página Web"='03.Muestra'!$D$8:$D$42,ROW('03.Muestra'!$F$8:$F$42)-MIN(ROW('03.Muestra'!$D$8:$D$42))+1,""),ROW()-664)),"")</f>
        <v>https://www.comunidad.madrid/hospital/clinicosancarlos/sitemap</v>
      </c>
      <c r="D679" s="130" t="s">
        <v>35</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Accesibilidad</v>
      </c>
      <c r="C680" s="114" t="str" cm="1">
        <f t="array" ref="C680">IFERROR(INDEX('03.Muestra'!$F$8:$F$42,SMALL(IF("Página Web"='03.Muestra'!$D$8:$D$42,ROW('03.Muestra'!$F$8:$F$42)-MIN(ROW('03.Muestra'!$D$8:$D$42))+1,""),ROW()-664)),"")</f>
        <v>https://www.comunidad.madrid/hospital/clinicosancarlos/declaracion-accesibilidad</v>
      </c>
      <c r="D680" s="130" t="s">
        <v>35</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ref="D681:D699" si="35">IF(AND(B681&lt;&gt;"",C681&lt;&gt;""),"N/T","")</f>
        <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268</v>
      </c>
      <c r="B702" s="24" t="s">
        <v>90</v>
      </c>
      <c r="C702" s="217" t="s">
        <v>371</v>
      </c>
      <c r="D702" s="26" t="s">
        <v>32</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https://www.comunidad.madrid/hospital/clinicosancarlos/</v>
      </c>
      <c r="D703" s="130" t="s">
        <v>35</v>
      </c>
      <c r="E703" s="107" t="str">
        <f t="shared" ref="E703:E737" si="36">IF(D703&lt;&gt;"",IF(AND(B703&lt;&gt;"",C703&lt;&gt;""),"","ERR"),"")</f>
        <v/>
      </c>
      <c r="F703" s="115" t="s">
        <v>33</v>
      </c>
      <c r="G703" s="116" t="s">
        <v>37</v>
      </c>
      <c r="H703" s="117" t="s">
        <v>35</v>
      </c>
      <c r="I703" s="118" t="s">
        <v>28</v>
      </c>
      <c r="J703" s="119" t="s">
        <v>26</v>
      </c>
      <c r="K703" s="229"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https://www.comunidad.madrid/hospital/clinicosancarlos/ciudadanos</v>
      </c>
      <c r="D704" s="130" t="s">
        <v>35</v>
      </c>
      <c r="E704" s="107" t="str">
        <f t="shared" si="36"/>
        <v/>
      </c>
      <c r="F704" s="120">
        <f ca="1">COUNTIF($D703:INDIRECT("$D" &amp;  SUM(ROW()-1,'03.Muestra'!$D$45)-1),F703)</f>
        <v>0</v>
      </c>
      <c r="G704" s="120">
        <f ca="1">COUNTIF($D703:INDIRECT("$D" &amp;  SUM(ROW()-1,'03.Muestra'!$D$45)-1),G703)</f>
        <v>0</v>
      </c>
      <c r="H704" s="120">
        <f ca="1">COUNTIF($D703:INDIRECT("$D" &amp;  SUM(ROW()-1,'03.Muestra'!$D$45)-1),H703)</f>
        <v>16</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Consultas externas</v>
      </c>
      <c r="C705" s="114" t="str" cm="1">
        <f t="array" ref="C705">IFERROR(INDEX('03.Muestra'!$F$8:$F$42,SMALL(IF("Página Web"='03.Muestra'!$D$8:$D$42,ROW('03.Muestra'!$F$8:$F$42)-MIN(ROW('03.Muestra'!$D$8:$D$42))+1,""),ROW()-702)),"")</f>
        <v>https://www.comunidad.madrid/hospital/clinicosancarlos/ciudadanos/consultas-externas</v>
      </c>
      <c r="D705" s="130" t="s">
        <v>35</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Donación</v>
      </c>
      <c r="C706" s="114" t="str" cm="1">
        <f t="array" ref="C706">IFERROR(INDEX('03.Muestra'!$F$8:$F$42,SMALL(IF("Página Web"='03.Muestra'!$D$8:$D$42,ROW('03.Muestra'!$F$8:$F$42)-MIN(ROW('03.Muestra'!$D$8:$D$42))+1,""),ROW()-702)),"")</f>
        <v>https://www.comunidad.madrid/hospital/clinicosancarlos/ciudadanos/donacion-0</v>
      </c>
      <c r="D706" s="130" t="s">
        <v>35</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Profesionales</v>
      </c>
      <c r="C707" s="114" t="str" cm="1">
        <f t="array" ref="C707">IFERROR(INDEX('03.Muestra'!$F$8:$F$42,SMALL(IF("Página Web"='03.Muestra'!$D$8:$D$42,ROW('03.Muestra'!$F$8:$F$42)-MIN(ROW('03.Muestra'!$D$8:$D$42))+1,""),ROW()-702)),"")</f>
        <v>https://www.comunidad.madrid/hospital/clinicosancarlos/profesionales</v>
      </c>
      <c r="D707" s="130" t="s">
        <v>35</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Docencia</v>
      </c>
      <c r="C708" s="114" t="str" cm="1">
        <f t="array" ref="C708">IFERROR(INDEX('03.Muestra'!$F$8:$F$42,SMALL(IF("Página Web"='03.Muestra'!$D$8:$D$42,ROW('03.Muestra'!$F$8:$F$42)-MIN(ROW('03.Muestra'!$D$8:$D$42))+1,""),ROW()-702)),"")</f>
        <v>https://www.comunidad.madrid/hospital/clinicosancarlos/profesionales/docencia</v>
      </c>
      <c r="D708" s="130" t="s">
        <v>35</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Referencia</v>
      </c>
      <c r="C709" s="114" t="str" cm="1">
        <f t="array" ref="C709">IFERROR(INDEX('03.Muestra'!$F$8:$F$42,SMALL(IF("Página Web"='03.Muestra'!$D$8:$D$42,ROW('03.Muestra'!$F$8:$F$42)-MIN(ROW('03.Muestra'!$D$8:$D$42))+1,""),ROW()-702)),"")</f>
        <v>https://www.comunidad.madrid/hospital/clinicosancarlos/profesionales/unidades-referencia-nacional-redes-europeas</v>
      </c>
      <c r="D709" s="130" t="s">
        <v>35</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Comunicación</v>
      </c>
      <c r="C710" s="114" t="str" cm="1">
        <f t="array" ref="C710">IFERROR(INDEX('03.Muestra'!$F$8:$F$42,SMALL(IF("Página Web"='03.Muestra'!$D$8:$D$42,ROW('03.Muestra'!$F$8:$F$42)-MIN(ROW('03.Muestra'!$D$8:$D$42))+1,""),ROW()-702)),"")</f>
        <v>https://www.comunidad.madrid/hospital/clinicosancarlos/comunicacion</v>
      </c>
      <c r="D710" s="130" t="s">
        <v>35</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Videoteca</v>
      </c>
      <c r="C711" s="114" t="str" cm="1">
        <f t="array" ref="C711">IFERROR(INDEX('03.Muestra'!$F$8:$F$42,SMALL(IF("Página Web"='03.Muestra'!$D$8:$D$42,ROW('03.Muestra'!$F$8:$F$42)-MIN(ROW('03.Muestra'!$D$8:$D$42))+1,""),ROW()-702)),"")</f>
        <v>https://www.comunidad.madrid/hospital/clinicosancarlos/comunicacion/videoteca</v>
      </c>
      <c r="D711" s="130" t="s">
        <v>35</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Noticias</v>
      </c>
      <c r="C712" s="114" t="str" cm="1">
        <f t="array" ref="C712">IFERROR(INDEX('03.Muestra'!$F$8:$F$42,SMALL(IF("Página Web"='03.Muestra'!$D$8:$D$42,ROW('03.Muestra'!$F$8:$F$42)-MIN(ROW('03.Muestra'!$D$8:$D$42))+1,""),ROW()-702)),"")</f>
        <v>https://www.comunidad.madrid/hospital/clinicosancarlos/comunicacion/noticias</v>
      </c>
      <c r="D712" s="130" t="s">
        <v>35</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Nosotros</v>
      </c>
      <c r="C713" s="114" t="str" cm="1">
        <f t="array" ref="C713">IFERROR(INDEX('03.Muestra'!$F$8:$F$42,SMALL(IF("Página Web"='03.Muestra'!$D$8:$D$42,ROW('03.Muestra'!$F$8:$F$42)-MIN(ROW('03.Muestra'!$D$8:$D$42))+1,""),ROW()-702)),"")</f>
        <v>https://www.comunidad.madrid/hospital/clinicosancarlos/nosotros</v>
      </c>
      <c r="D713" s="130" t="s">
        <v>35</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Gestión Ambiental</v>
      </c>
      <c r="C714" s="114" t="str" cm="1">
        <f t="array" ref="C714">IFERROR(INDEX('03.Muestra'!$F$8:$F$42,SMALL(IF("Página Web"='03.Muestra'!$D$8:$D$42,ROW('03.Muestra'!$F$8:$F$42)-MIN(ROW('03.Muestra'!$D$8:$D$42))+1,""),ROW()-702)),"")</f>
        <v>https://www.comunidad.madrid/hospital/clinicosancarlos/nosotros/gestion-ambiental</v>
      </c>
      <c r="D714" s="130" t="s">
        <v>35</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Proveedores</v>
      </c>
      <c r="C715" s="114" t="str" cm="1">
        <f t="array" ref="C715">IFERROR(INDEX('03.Muestra'!$F$8:$F$42,SMALL(IF("Página Web"='03.Muestra'!$D$8:$D$42,ROW('03.Muestra'!$F$8:$F$42)-MIN(ROW('03.Muestra'!$D$8:$D$42))+1,""),ROW()-702)),"")</f>
        <v>https://www.comunidad.madrid/hospital/clinicosancarlos/nosotros/proveedores-0</v>
      </c>
      <c r="D715" s="130" t="s">
        <v>35</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Aviso legal</v>
      </c>
      <c r="C716" s="114" t="str" cm="1">
        <f t="array" ref="C716">IFERROR(INDEX('03.Muestra'!$F$8:$F$42,SMALL(IF("Página Web"='03.Muestra'!$D$8:$D$42,ROW('03.Muestra'!$F$8:$F$42)-MIN(ROW('03.Muestra'!$D$8:$D$42))+1,""),ROW()-702)),"")</f>
        <v>https://www.comunidad.madrid/hospital/clinicosancarlos/aviso-legal-privacidad</v>
      </c>
      <c r="D716" s="130" t="s">
        <v>35</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Mapa web</v>
      </c>
      <c r="C717" s="114" t="str" cm="1">
        <f t="array" ref="C717">IFERROR(INDEX('03.Muestra'!$F$8:$F$42,SMALL(IF("Página Web"='03.Muestra'!$D$8:$D$42,ROW('03.Muestra'!$F$8:$F$42)-MIN(ROW('03.Muestra'!$D$8:$D$42))+1,""),ROW()-702)),"")</f>
        <v>https://www.comunidad.madrid/hospital/clinicosancarlos/sitemap</v>
      </c>
      <c r="D717" s="130" t="s">
        <v>35</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Accesibilidad</v>
      </c>
      <c r="C718" s="114" t="str" cm="1">
        <f t="array" ref="C718">IFERROR(INDEX('03.Muestra'!$F$8:$F$42,SMALL(IF("Página Web"='03.Muestra'!$D$8:$D$42,ROW('03.Muestra'!$F$8:$F$42)-MIN(ROW('03.Muestra'!$D$8:$D$42))+1,""),ROW()-702)),"")</f>
        <v>https://www.comunidad.madrid/hospital/clinicosancarlos/declaracion-accesibilidad</v>
      </c>
      <c r="D718" s="130" t="s">
        <v>35</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ref="D719:D737" si="37">IF(AND(B719&lt;&gt;"",C719&lt;&gt;""),"N/T","")</f>
        <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E57:E92 E437:E471 E475:E509 E551:E585 E589:E623 E19:E53">
    <cfRule type="cellIs" dxfId="1642" priority="483" stopIfTrue="1" operator="equal">
      <formula>"ERR"</formula>
    </cfRule>
  </conditionalFormatting>
  <conditionalFormatting sqref="D35:D53 D73:D92 D453:D471 D491:D509 D567:D585 D605:D623 F19:J19 F57:J57 F437:J437 F475:J475 F551:J551 F589:J589 F95:J95 F133:J133 F171:J171 F209:J209 F247:J247 F285:J285 F323:J323 F361:J361 F399:J399 F513:J513 F627:J627 F665:J665 F703:J703">
    <cfRule type="expression" dxfId="1641" priority="477" stopIfTrue="1">
      <formula>ISBLANK(D19)</formula>
    </cfRule>
    <cfRule type="cellIs" dxfId="1640" priority="478" stopIfTrue="1" operator="equal">
      <formula>"Pasa"</formula>
    </cfRule>
    <cfRule type="cellIs" dxfId="1639" priority="479" stopIfTrue="1" operator="equal">
      <formula>"Falla"</formula>
    </cfRule>
    <cfRule type="cellIs" dxfId="1638" priority="480" stopIfTrue="1" operator="equal">
      <formula>"N/A"</formula>
    </cfRule>
    <cfRule type="cellIs" dxfId="1637" priority="481" stopIfTrue="1" operator="equal">
      <formula>"N/T"</formula>
    </cfRule>
    <cfRule type="cellIs" dxfId="1636" priority="482" stopIfTrue="1" operator="equal">
      <formula>"N/D"</formula>
    </cfRule>
  </conditionalFormatting>
  <conditionalFormatting sqref="D1:D8 D739:D1048576 D10:D18 D435:D436 D549:D550 D35:D56 D73:D93 D453:D474 D491:D510 D567:D588 D605:D624">
    <cfRule type="cellIs" dxfId="1635" priority="362" stopIfTrue="1" operator="equal">
      <formula>"-"</formula>
    </cfRule>
  </conditionalFormatting>
  <conditionalFormatting sqref="E95:E130">
    <cfRule type="cellIs" dxfId="1634" priority="361" stopIfTrue="1" operator="equal">
      <formula>"ERR"</formula>
    </cfRule>
  </conditionalFormatting>
  <conditionalFormatting sqref="D111:D130">
    <cfRule type="expression" dxfId="1633" priority="355" stopIfTrue="1">
      <formula>ISBLANK(D111)</formula>
    </cfRule>
    <cfRule type="cellIs" dxfId="1632" priority="356" stopIfTrue="1" operator="equal">
      <formula>"Pasa"</formula>
    </cfRule>
    <cfRule type="cellIs" dxfId="1631" priority="357" stopIfTrue="1" operator="equal">
      <formula>"Falla"</formula>
    </cfRule>
    <cfRule type="cellIs" dxfId="1630" priority="358" stopIfTrue="1" operator="equal">
      <formula>"N/A"</formula>
    </cfRule>
    <cfRule type="cellIs" dxfId="1629" priority="359" stopIfTrue="1" operator="equal">
      <formula>"N/T"</formula>
    </cfRule>
    <cfRule type="cellIs" dxfId="1628" priority="360" stopIfTrue="1" operator="equal">
      <formula>"N/D"</formula>
    </cfRule>
  </conditionalFormatting>
  <conditionalFormatting sqref="D94 D111:D131">
    <cfRule type="cellIs" dxfId="1627" priority="348" stopIfTrue="1" operator="equal">
      <formula>"-"</formula>
    </cfRule>
  </conditionalFormatting>
  <conditionalFormatting sqref="E133:E168">
    <cfRule type="cellIs" dxfId="1626" priority="347" stopIfTrue="1" operator="equal">
      <formula>"ERR"</formula>
    </cfRule>
  </conditionalFormatting>
  <conditionalFormatting sqref="D149:D168">
    <cfRule type="expression" dxfId="1625" priority="341" stopIfTrue="1">
      <formula>ISBLANK(D149)</formula>
    </cfRule>
    <cfRule type="cellIs" dxfId="1624" priority="342" stopIfTrue="1" operator="equal">
      <formula>"Pasa"</formula>
    </cfRule>
    <cfRule type="cellIs" dxfId="1623" priority="343" stopIfTrue="1" operator="equal">
      <formula>"Falla"</formula>
    </cfRule>
    <cfRule type="cellIs" dxfId="1622" priority="344" stopIfTrue="1" operator="equal">
      <formula>"N/A"</formula>
    </cfRule>
    <cfRule type="cellIs" dxfId="1621" priority="345" stopIfTrue="1" operator="equal">
      <formula>"N/T"</formula>
    </cfRule>
    <cfRule type="cellIs" dxfId="1620" priority="346" stopIfTrue="1" operator="equal">
      <formula>"N/D"</formula>
    </cfRule>
  </conditionalFormatting>
  <conditionalFormatting sqref="D132 D149:D169">
    <cfRule type="cellIs" dxfId="1619" priority="334" stopIfTrue="1" operator="equal">
      <formula>"-"</formula>
    </cfRule>
  </conditionalFormatting>
  <conditionalFormatting sqref="E171:E205">
    <cfRule type="cellIs" dxfId="1618" priority="333" stopIfTrue="1" operator="equal">
      <formula>"ERR"</formula>
    </cfRule>
  </conditionalFormatting>
  <conditionalFormatting sqref="D187:D205">
    <cfRule type="expression" dxfId="1617" priority="327" stopIfTrue="1">
      <formula>ISBLANK(D187)</formula>
    </cfRule>
    <cfRule type="cellIs" dxfId="1616" priority="328" stopIfTrue="1" operator="equal">
      <formula>"Pasa"</formula>
    </cfRule>
    <cfRule type="cellIs" dxfId="1615" priority="329" stopIfTrue="1" operator="equal">
      <formula>"Falla"</formula>
    </cfRule>
    <cfRule type="cellIs" dxfId="1614" priority="330" stopIfTrue="1" operator="equal">
      <formula>"N/A"</formula>
    </cfRule>
    <cfRule type="cellIs" dxfId="1613" priority="331" stopIfTrue="1" operator="equal">
      <formula>"N/T"</formula>
    </cfRule>
    <cfRule type="cellIs" dxfId="1612" priority="332" stopIfTrue="1" operator="equal">
      <formula>"N/D"</formula>
    </cfRule>
  </conditionalFormatting>
  <conditionalFormatting sqref="D170 D187:D206">
    <cfRule type="cellIs" dxfId="1611" priority="320" stopIfTrue="1" operator="equal">
      <formula>"-"</formula>
    </cfRule>
  </conditionalFormatting>
  <conditionalFormatting sqref="D207">
    <cfRule type="cellIs" dxfId="1610" priority="319" stopIfTrue="1" operator="equal">
      <formula>"-"</formula>
    </cfRule>
  </conditionalFormatting>
  <conditionalFormatting sqref="E209:E243">
    <cfRule type="cellIs" dxfId="1609" priority="318" stopIfTrue="1" operator="equal">
      <formula>"ERR"</formula>
    </cfRule>
  </conditionalFormatting>
  <conditionalFormatting sqref="D225:D243">
    <cfRule type="expression" dxfId="1608" priority="312" stopIfTrue="1">
      <formula>ISBLANK(D225)</formula>
    </cfRule>
    <cfRule type="cellIs" dxfId="1607" priority="313" stopIfTrue="1" operator="equal">
      <formula>"Pasa"</formula>
    </cfRule>
    <cfRule type="cellIs" dxfId="1606" priority="314" stopIfTrue="1" operator="equal">
      <formula>"Falla"</formula>
    </cfRule>
    <cfRule type="cellIs" dxfId="1605" priority="315" stopIfTrue="1" operator="equal">
      <formula>"N/A"</formula>
    </cfRule>
    <cfRule type="cellIs" dxfId="1604" priority="316" stopIfTrue="1" operator="equal">
      <formula>"N/T"</formula>
    </cfRule>
    <cfRule type="cellIs" dxfId="1603" priority="317" stopIfTrue="1" operator="equal">
      <formula>"N/D"</formula>
    </cfRule>
  </conditionalFormatting>
  <conditionalFormatting sqref="D208 D225:D244">
    <cfRule type="cellIs" dxfId="1602" priority="305" stopIfTrue="1" operator="equal">
      <formula>"-"</formula>
    </cfRule>
  </conditionalFormatting>
  <conditionalFormatting sqref="D245">
    <cfRule type="cellIs" dxfId="1601" priority="304" stopIfTrue="1" operator="equal">
      <formula>"-"</formula>
    </cfRule>
  </conditionalFormatting>
  <conditionalFormatting sqref="E247:E281">
    <cfRule type="cellIs" dxfId="1600" priority="303" stopIfTrue="1" operator="equal">
      <formula>"ERR"</formula>
    </cfRule>
  </conditionalFormatting>
  <conditionalFormatting sqref="D263:D281">
    <cfRule type="expression" dxfId="1599" priority="297" stopIfTrue="1">
      <formula>ISBLANK(D263)</formula>
    </cfRule>
    <cfRule type="cellIs" dxfId="1598" priority="298" stopIfTrue="1" operator="equal">
      <formula>"Pasa"</formula>
    </cfRule>
    <cfRule type="cellIs" dxfId="1597" priority="299" stopIfTrue="1" operator="equal">
      <formula>"Falla"</formula>
    </cfRule>
    <cfRule type="cellIs" dxfId="1596" priority="300" stopIfTrue="1" operator="equal">
      <formula>"N/A"</formula>
    </cfRule>
    <cfRule type="cellIs" dxfId="1595" priority="301" stopIfTrue="1" operator="equal">
      <formula>"N/T"</formula>
    </cfRule>
    <cfRule type="cellIs" dxfId="1594" priority="302" stopIfTrue="1" operator="equal">
      <formula>"N/D"</formula>
    </cfRule>
  </conditionalFormatting>
  <conditionalFormatting sqref="D246 D263:D282">
    <cfRule type="cellIs" dxfId="1593" priority="290" stopIfTrue="1" operator="equal">
      <formula>"-"</formula>
    </cfRule>
  </conditionalFormatting>
  <conditionalFormatting sqref="D283">
    <cfRule type="cellIs" dxfId="1592" priority="289" stopIfTrue="1" operator="equal">
      <formula>"-"</formula>
    </cfRule>
  </conditionalFormatting>
  <conditionalFormatting sqref="E285:E319">
    <cfRule type="cellIs" dxfId="1591" priority="288" stopIfTrue="1" operator="equal">
      <formula>"ERR"</formula>
    </cfRule>
  </conditionalFormatting>
  <conditionalFormatting sqref="D301:D319">
    <cfRule type="expression" dxfId="1590" priority="282" stopIfTrue="1">
      <formula>ISBLANK(D301)</formula>
    </cfRule>
    <cfRule type="cellIs" dxfId="1589" priority="283" stopIfTrue="1" operator="equal">
      <formula>"Pasa"</formula>
    </cfRule>
    <cfRule type="cellIs" dxfId="1588" priority="284" stopIfTrue="1" operator="equal">
      <formula>"Falla"</formula>
    </cfRule>
    <cfRule type="cellIs" dxfId="1587" priority="285" stopIfTrue="1" operator="equal">
      <formula>"N/A"</formula>
    </cfRule>
    <cfRule type="cellIs" dxfId="1586" priority="286" stopIfTrue="1" operator="equal">
      <formula>"N/T"</formula>
    </cfRule>
    <cfRule type="cellIs" dxfId="1585" priority="287" stopIfTrue="1" operator="equal">
      <formula>"N/D"</formula>
    </cfRule>
  </conditionalFormatting>
  <conditionalFormatting sqref="D284 D301:D320">
    <cfRule type="cellIs" dxfId="1584" priority="275" stopIfTrue="1" operator="equal">
      <formula>"-"</formula>
    </cfRule>
  </conditionalFormatting>
  <conditionalFormatting sqref="D321">
    <cfRule type="cellIs" dxfId="1583" priority="274" stopIfTrue="1" operator="equal">
      <formula>"-"</formula>
    </cfRule>
  </conditionalFormatting>
  <conditionalFormatting sqref="E323:E357">
    <cfRule type="cellIs" dxfId="1582" priority="273" stopIfTrue="1" operator="equal">
      <formula>"ERR"</formula>
    </cfRule>
  </conditionalFormatting>
  <conditionalFormatting sqref="D339:D357">
    <cfRule type="expression" dxfId="1581" priority="267" stopIfTrue="1">
      <formula>ISBLANK(D339)</formula>
    </cfRule>
    <cfRule type="cellIs" dxfId="1580" priority="268" stopIfTrue="1" operator="equal">
      <formula>"Pasa"</formula>
    </cfRule>
    <cfRule type="cellIs" dxfId="1579" priority="269" stopIfTrue="1" operator="equal">
      <formula>"Falla"</formula>
    </cfRule>
    <cfRule type="cellIs" dxfId="1578" priority="270" stopIfTrue="1" operator="equal">
      <formula>"N/A"</formula>
    </cfRule>
    <cfRule type="cellIs" dxfId="1577" priority="271" stopIfTrue="1" operator="equal">
      <formula>"N/T"</formula>
    </cfRule>
    <cfRule type="cellIs" dxfId="1576" priority="272" stopIfTrue="1" operator="equal">
      <formula>"N/D"</formula>
    </cfRule>
  </conditionalFormatting>
  <conditionalFormatting sqref="D322 D339:D358">
    <cfRule type="cellIs" dxfId="1575" priority="260" stopIfTrue="1" operator="equal">
      <formula>"-"</formula>
    </cfRule>
  </conditionalFormatting>
  <conditionalFormatting sqref="D359">
    <cfRule type="cellIs" dxfId="1574" priority="259" stopIfTrue="1" operator="equal">
      <formula>"-"</formula>
    </cfRule>
  </conditionalFormatting>
  <conditionalFormatting sqref="E361:E395">
    <cfRule type="cellIs" dxfId="1573" priority="258" stopIfTrue="1" operator="equal">
      <formula>"ERR"</formula>
    </cfRule>
  </conditionalFormatting>
  <conditionalFormatting sqref="D377:D395">
    <cfRule type="expression" dxfId="1572" priority="252" stopIfTrue="1">
      <formula>ISBLANK(D377)</formula>
    </cfRule>
    <cfRule type="cellIs" dxfId="1571" priority="253" stopIfTrue="1" operator="equal">
      <formula>"Pasa"</formula>
    </cfRule>
    <cfRule type="cellIs" dxfId="1570" priority="254" stopIfTrue="1" operator="equal">
      <formula>"Falla"</formula>
    </cfRule>
    <cfRule type="cellIs" dxfId="1569" priority="255" stopIfTrue="1" operator="equal">
      <formula>"N/A"</formula>
    </cfRule>
    <cfRule type="cellIs" dxfId="1568" priority="256" stopIfTrue="1" operator="equal">
      <formula>"N/T"</formula>
    </cfRule>
    <cfRule type="cellIs" dxfId="1567" priority="257" stopIfTrue="1" operator="equal">
      <formula>"N/D"</formula>
    </cfRule>
  </conditionalFormatting>
  <conditionalFormatting sqref="D360 D377:D396">
    <cfRule type="cellIs" dxfId="1566" priority="245" stopIfTrue="1" operator="equal">
      <formula>"-"</formula>
    </cfRule>
  </conditionalFormatting>
  <conditionalFormatting sqref="D397">
    <cfRule type="cellIs" dxfId="1565" priority="244" stopIfTrue="1" operator="equal">
      <formula>"-"</formula>
    </cfRule>
  </conditionalFormatting>
  <conditionalFormatting sqref="E399:E433">
    <cfRule type="cellIs" dxfId="1564" priority="243" stopIfTrue="1" operator="equal">
      <formula>"ERR"</formula>
    </cfRule>
  </conditionalFormatting>
  <conditionalFormatting sqref="D415:D433">
    <cfRule type="expression" dxfId="1563" priority="237" stopIfTrue="1">
      <formula>ISBLANK(D415)</formula>
    </cfRule>
    <cfRule type="cellIs" dxfId="1562" priority="238" stopIfTrue="1" operator="equal">
      <formula>"Pasa"</formula>
    </cfRule>
    <cfRule type="cellIs" dxfId="1561" priority="239" stopIfTrue="1" operator="equal">
      <formula>"Falla"</formula>
    </cfRule>
    <cfRule type="cellIs" dxfId="1560" priority="240" stopIfTrue="1" operator="equal">
      <formula>"N/A"</formula>
    </cfRule>
    <cfRule type="cellIs" dxfId="1559" priority="241" stopIfTrue="1" operator="equal">
      <formula>"N/T"</formula>
    </cfRule>
    <cfRule type="cellIs" dxfId="1558" priority="242" stopIfTrue="1" operator="equal">
      <formula>"N/D"</formula>
    </cfRule>
  </conditionalFormatting>
  <conditionalFormatting sqref="D398 D415:D434">
    <cfRule type="cellIs" dxfId="1557" priority="230" stopIfTrue="1" operator="equal">
      <formula>"-"</formula>
    </cfRule>
  </conditionalFormatting>
  <conditionalFormatting sqref="E513:E547">
    <cfRule type="cellIs" dxfId="1556" priority="229" stopIfTrue="1" operator="equal">
      <formula>"ERR"</formula>
    </cfRule>
  </conditionalFormatting>
  <conditionalFormatting sqref="D529:D547">
    <cfRule type="expression" dxfId="1555" priority="223" stopIfTrue="1">
      <formula>ISBLANK(D529)</formula>
    </cfRule>
    <cfRule type="cellIs" dxfId="1554" priority="224" stopIfTrue="1" operator="equal">
      <formula>"Pasa"</formula>
    </cfRule>
    <cfRule type="cellIs" dxfId="1553" priority="225" stopIfTrue="1" operator="equal">
      <formula>"Falla"</formula>
    </cfRule>
    <cfRule type="cellIs" dxfId="1552" priority="226" stopIfTrue="1" operator="equal">
      <formula>"N/A"</formula>
    </cfRule>
    <cfRule type="cellIs" dxfId="1551" priority="227" stopIfTrue="1" operator="equal">
      <formula>"N/T"</formula>
    </cfRule>
    <cfRule type="cellIs" dxfId="1550" priority="228" stopIfTrue="1" operator="equal">
      <formula>"N/D"</formula>
    </cfRule>
  </conditionalFormatting>
  <conditionalFormatting sqref="D511:D512 D529:D548">
    <cfRule type="cellIs" dxfId="1549" priority="216" stopIfTrue="1" operator="equal">
      <formula>"-"</formula>
    </cfRule>
  </conditionalFormatting>
  <conditionalFormatting sqref="E627:E661">
    <cfRule type="cellIs" dxfId="1548" priority="187" stopIfTrue="1" operator="equal">
      <formula>"ERR"</formula>
    </cfRule>
  </conditionalFormatting>
  <conditionalFormatting sqref="D643:D661">
    <cfRule type="expression" dxfId="1547" priority="181" stopIfTrue="1">
      <formula>ISBLANK(D643)</formula>
    </cfRule>
    <cfRule type="cellIs" dxfId="1546" priority="182" stopIfTrue="1" operator="equal">
      <formula>"Pasa"</formula>
    </cfRule>
    <cfRule type="cellIs" dxfId="1545" priority="183" stopIfTrue="1" operator="equal">
      <formula>"Falla"</formula>
    </cfRule>
    <cfRule type="cellIs" dxfId="1544" priority="184" stopIfTrue="1" operator="equal">
      <formula>"N/A"</formula>
    </cfRule>
    <cfRule type="cellIs" dxfId="1543" priority="185" stopIfTrue="1" operator="equal">
      <formula>"N/T"</formula>
    </cfRule>
    <cfRule type="cellIs" dxfId="1542" priority="186" stopIfTrue="1" operator="equal">
      <formula>"N/D"</formula>
    </cfRule>
  </conditionalFormatting>
  <conditionalFormatting sqref="D625:D626 D643:D662">
    <cfRule type="cellIs" dxfId="1541" priority="174" stopIfTrue="1" operator="equal">
      <formula>"-"</formula>
    </cfRule>
  </conditionalFormatting>
  <conditionalFormatting sqref="E665:E699">
    <cfRule type="cellIs" dxfId="1540" priority="173" stopIfTrue="1" operator="equal">
      <formula>"ERR"</formula>
    </cfRule>
  </conditionalFormatting>
  <conditionalFormatting sqref="D681:D699">
    <cfRule type="expression" dxfId="1539" priority="167" stopIfTrue="1">
      <formula>ISBLANK(D681)</formula>
    </cfRule>
    <cfRule type="cellIs" dxfId="1538" priority="168" stopIfTrue="1" operator="equal">
      <formula>"Pasa"</formula>
    </cfRule>
    <cfRule type="cellIs" dxfId="1537" priority="169" stopIfTrue="1" operator="equal">
      <formula>"Falla"</formula>
    </cfRule>
    <cfRule type="cellIs" dxfId="1536" priority="170" stopIfTrue="1" operator="equal">
      <formula>"N/A"</formula>
    </cfRule>
    <cfRule type="cellIs" dxfId="1535" priority="171" stopIfTrue="1" operator="equal">
      <formula>"N/T"</formula>
    </cfRule>
    <cfRule type="cellIs" dxfId="1534" priority="172" stopIfTrue="1" operator="equal">
      <formula>"N/D"</formula>
    </cfRule>
  </conditionalFormatting>
  <conditionalFormatting sqref="D663:D664 D681:D700">
    <cfRule type="cellIs" dxfId="1533" priority="160" stopIfTrue="1" operator="equal">
      <formula>"-"</formula>
    </cfRule>
  </conditionalFormatting>
  <conditionalFormatting sqref="E703:E737">
    <cfRule type="cellIs" dxfId="1532" priority="159" stopIfTrue="1" operator="equal">
      <formula>"ERR"</formula>
    </cfRule>
  </conditionalFormatting>
  <conditionalFormatting sqref="D719:D737">
    <cfRule type="expression" dxfId="1531" priority="153" stopIfTrue="1">
      <formula>ISBLANK(D719)</formula>
    </cfRule>
    <cfRule type="cellIs" dxfId="1530" priority="154" stopIfTrue="1" operator="equal">
      <formula>"Pasa"</formula>
    </cfRule>
    <cfRule type="cellIs" dxfId="1529" priority="155" stopIfTrue="1" operator="equal">
      <formula>"Falla"</formula>
    </cfRule>
    <cfRule type="cellIs" dxfId="1528" priority="156" stopIfTrue="1" operator="equal">
      <formula>"N/A"</formula>
    </cfRule>
    <cfRule type="cellIs" dxfId="1527" priority="157" stopIfTrue="1" operator="equal">
      <formula>"N/T"</formula>
    </cfRule>
    <cfRule type="cellIs" dxfId="1526" priority="158" stopIfTrue="1" operator="equal">
      <formula>"N/D"</formula>
    </cfRule>
  </conditionalFormatting>
  <conditionalFormatting sqref="D701:D702 D719:D738">
    <cfRule type="cellIs" dxfId="1525" priority="146" stopIfTrue="1" operator="equal">
      <formula>"-"</formula>
    </cfRule>
  </conditionalFormatting>
  <conditionalFormatting sqref="K23">
    <cfRule type="expression" dxfId="1524" priority="140" stopIfTrue="1">
      <formula>ISBLANK(K23)</formula>
    </cfRule>
    <cfRule type="cellIs" dxfId="1523" priority="141" stopIfTrue="1" operator="equal">
      <formula>"Pasa"</formula>
    </cfRule>
    <cfRule type="cellIs" dxfId="1522" priority="142" stopIfTrue="1" operator="equal">
      <formula>"Falla"</formula>
    </cfRule>
    <cfRule type="cellIs" dxfId="1521" priority="143" stopIfTrue="1" operator="equal">
      <formula>"N/A"</formula>
    </cfRule>
    <cfRule type="cellIs" dxfId="1520" priority="144" stopIfTrue="1" operator="equal">
      <formula>"N/T"</formula>
    </cfRule>
    <cfRule type="cellIs" dxfId="1519" priority="145" stopIfTrue="1" operator="equal">
      <formula>"N/D"</formula>
    </cfRule>
  </conditionalFormatting>
  <conditionalFormatting sqref="K24">
    <cfRule type="expression" dxfId="1518" priority="134" stopIfTrue="1">
      <formula>ISBLANK(K24)</formula>
    </cfRule>
    <cfRule type="cellIs" dxfId="1517" priority="135" stopIfTrue="1" operator="equal">
      <formula>"Pasa"</formula>
    </cfRule>
    <cfRule type="cellIs" dxfId="1516" priority="136" stopIfTrue="1" operator="equal">
      <formula>"Falla"</formula>
    </cfRule>
    <cfRule type="cellIs" dxfId="1515" priority="137" stopIfTrue="1" operator="equal">
      <formula>"N/A"</formula>
    </cfRule>
    <cfRule type="cellIs" dxfId="1514" priority="138" stopIfTrue="1" operator="equal">
      <formula>"N/T"</formula>
    </cfRule>
    <cfRule type="cellIs" dxfId="1513" priority="139" stopIfTrue="1" operator="equal">
      <formula>"N/D"</formula>
    </cfRule>
  </conditionalFormatting>
  <conditionalFormatting sqref="D19:D34">
    <cfRule type="expression" dxfId="1512" priority="128" stopIfTrue="1">
      <formula>ISBLANK(D19)</formula>
    </cfRule>
    <cfRule type="cellIs" dxfId="1511" priority="129" stopIfTrue="1" operator="equal">
      <formula>"Pasa"</formula>
    </cfRule>
    <cfRule type="cellIs" dxfId="1510" priority="130" stopIfTrue="1" operator="equal">
      <formula>"Falla"</formula>
    </cfRule>
    <cfRule type="cellIs" dxfId="1509" priority="131" stopIfTrue="1" operator="equal">
      <formula>"N/A"</formula>
    </cfRule>
    <cfRule type="cellIs" dxfId="1508" priority="132" stopIfTrue="1" operator="equal">
      <formula>"N/T"</formula>
    </cfRule>
    <cfRule type="cellIs" dxfId="1507" priority="133" stopIfTrue="1" operator="equal">
      <formula>"N/D"</formula>
    </cfRule>
  </conditionalFormatting>
  <conditionalFormatting sqref="D19:D34">
    <cfRule type="cellIs" dxfId="1506" priority="127" stopIfTrue="1" operator="equal">
      <formula>"-"</formula>
    </cfRule>
  </conditionalFormatting>
  <conditionalFormatting sqref="D57:D72">
    <cfRule type="expression" dxfId="1505" priority="121" stopIfTrue="1">
      <formula>ISBLANK(D57)</formula>
    </cfRule>
    <cfRule type="cellIs" dxfId="1504" priority="122" stopIfTrue="1" operator="equal">
      <formula>"Pasa"</formula>
    </cfRule>
    <cfRule type="cellIs" dxfId="1503" priority="123" stopIfTrue="1" operator="equal">
      <formula>"Falla"</formula>
    </cfRule>
    <cfRule type="cellIs" dxfId="1502" priority="124" stopIfTrue="1" operator="equal">
      <formula>"N/A"</formula>
    </cfRule>
    <cfRule type="cellIs" dxfId="1501" priority="125" stopIfTrue="1" operator="equal">
      <formula>"N/T"</formula>
    </cfRule>
    <cfRule type="cellIs" dxfId="1500" priority="126" stopIfTrue="1" operator="equal">
      <formula>"N/D"</formula>
    </cfRule>
  </conditionalFormatting>
  <conditionalFormatting sqref="D57:D72">
    <cfRule type="cellIs" dxfId="1499" priority="120" stopIfTrue="1" operator="equal">
      <formula>"-"</formula>
    </cfRule>
  </conditionalFormatting>
  <conditionalFormatting sqref="D95:D110">
    <cfRule type="expression" dxfId="1498" priority="114" stopIfTrue="1">
      <formula>ISBLANK(D95)</formula>
    </cfRule>
    <cfRule type="cellIs" dxfId="1497" priority="115" stopIfTrue="1" operator="equal">
      <formula>"Pasa"</formula>
    </cfRule>
    <cfRule type="cellIs" dxfId="1496" priority="116" stopIfTrue="1" operator="equal">
      <formula>"Falla"</formula>
    </cfRule>
    <cfRule type="cellIs" dxfId="1495" priority="117" stopIfTrue="1" operator="equal">
      <formula>"N/A"</formula>
    </cfRule>
    <cfRule type="cellIs" dxfId="1494" priority="118" stopIfTrue="1" operator="equal">
      <formula>"N/T"</formula>
    </cfRule>
    <cfRule type="cellIs" dxfId="1493" priority="119" stopIfTrue="1" operator="equal">
      <formula>"N/D"</formula>
    </cfRule>
  </conditionalFormatting>
  <conditionalFormatting sqref="D95:D110">
    <cfRule type="cellIs" dxfId="1492" priority="113" stopIfTrue="1" operator="equal">
      <formula>"-"</formula>
    </cfRule>
  </conditionalFormatting>
  <conditionalFormatting sqref="D133:D148">
    <cfRule type="expression" dxfId="1491" priority="107" stopIfTrue="1">
      <formula>ISBLANK(D133)</formula>
    </cfRule>
    <cfRule type="cellIs" dxfId="1490" priority="108" stopIfTrue="1" operator="equal">
      <formula>"Pasa"</formula>
    </cfRule>
    <cfRule type="cellIs" dxfId="1489" priority="109" stopIfTrue="1" operator="equal">
      <formula>"Falla"</formula>
    </cfRule>
    <cfRule type="cellIs" dxfId="1488" priority="110" stopIfTrue="1" operator="equal">
      <formula>"N/A"</formula>
    </cfRule>
    <cfRule type="cellIs" dxfId="1487" priority="111" stopIfTrue="1" operator="equal">
      <formula>"N/T"</formula>
    </cfRule>
    <cfRule type="cellIs" dxfId="1486" priority="112" stopIfTrue="1" operator="equal">
      <formula>"N/D"</formula>
    </cfRule>
  </conditionalFormatting>
  <conditionalFormatting sqref="D133:D148">
    <cfRule type="cellIs" dxfId="1485" priority="106" stopIfTrue="1" operator="equal">
      <formula>"-"</formula>
    </cfRule>
  </conditionalFormatting>
  <conditionalFormatting sqref="D171:D186">
    <cfRule type="expression" dxfId="1484" priority="100" stopIfTrue="1">
      <formula>ISBLANK(D171)</formula>
    </cfRule>
    <cfRule type="cellIs" dxfId="1483" priority="101" stopIfTrue="1" operator="equal">
      <formula>"Pasa"</formula>
    </cfRule>
    <cfRule type="cellIs" dxfId="1482" priority="102" stopIfTrue="1" operator="equal">
      <formula>"Falla"</formula>
    </cfRule>
    <cfRule type="cellIs" dxfId="1481" priority="103" stopIfTrue="1" operator="equal">
      <formula>"N/A"</formula>
    </cfRule>
    <cfRule type="cellIs" dxfId="1480" priority="104" stopIfTrue="1" operator="equal">
      <formula>"N/T"</formula>
    </cfRule>
    <cfRule type="cellIs" dxfId="1479" priority="105" stopIfTrue="1" operator="equal">
      <formula>"N/D"</formula>
    </cfRule>
  </conditionalFormatting>
  <conditionalFormatting sqref="D171:D186">
    <cfRule type="cellIs" dxfId="1478" priority="99" stopIfTrue="1" operator="equal">
      <formula>"-"</formula>
    </cfRule>
  </conditionalFormatting>
  <conditionalFormatting sqref="D209:D224">
    <cfRule type="expression" dxfId="1477" priority="93" stopIfTrue="1">
      <formula>ISBLANK(D209)</formula>
    </cfRule>
    <cfRule type="cellIs" dxfId="1476" priority="94" stopIfTrue="1" operator="equal">
      <formula>"Pasa"</formula>
    </cfRule>
    <cfRule type="cellIs" dxfId="1475" priority="95" stopIfTrue="1" operator="equal">
      <formula>"Falla"</formula>
    </cfRule>
    <cfRule type="cellIs" dxfId="1474" priority="96" stopIfTrue="1" operator="equal">
      <formula>"N/A"</formula>
    </cfRule>
    <cfRule type="cellIs" dxfId="1473" priority="97" stopIfTrue="1" operator="equal">
      <formula>"N/T"</formula>
    </cfRule>
    <cfRule type="cellIs" dxfId="1472" priority="98" stopIfTrue="1" operator="equal">
      <formula>"N/D"</formula>
    </cfRule>
  </conditionalFormatting>
  <conditionalFormatting sqref="D209:D224">
    <cfRule type="cellIs" dxfId="1471" priority="92" stopIfTrue="1" operator="equal">
      <formula>"-"</formula>
    </cfRule>
  </conditionalFormatting>
  <conditionalFormatting sqref="D247:D262">
    <cfRule type="expression" dxfId="1470" priority="86" stopIfTrue="1">
      <formula>ISBLANK(D247)</formula>
    </cfRule>
    <cfRule type="cellIs" dxfId="1469" priority="87" stopIfTrue="1" operator="equal">
      <formula>"Pasa"</formula>
    </cfRule>
    <cfRule type="cellIs" dxfId="1468" priority="88" stopIfTrue="1" operator="equal">
      <formula>"Falla"</formula>
    </cfRule>
    <cfRule type="cellIs" dxfId="1467" priority="89" stopIfTrue="1" operator="equal">
      <formula>"N/A"</formula>
    </cfRule>
    <cfRule type="cellIs" dxfId="1466" priority="90" stopIfTrue="1" operator="equal">
      <formula>"N/T"</formula>
    </cfRule>
    <cfRule type="cellIs" dxfId="1465" priority="91" stopIfTrue="1" operator="equal">
      <formula>"N/D"</formula>
    </cfRule>
  </conditionalFormatting>
  <conditionalFormatting sqref="D247:D262">
    <cfRule type="cellIs" dxfId="1464" priority="85" stopIfTrue="1" operator="equal">
      <formula>"-"</formula>
    </cfRule>
  </conditionalFormatting>
  <conditionalFormatting sqref="D285:D300">
    <cfRule type="expression" dxfId="1463" priority="79" stopIfTrue="1">
      <formula>ISBLANK(D285)</formula>
    </cfRule>
    <cfRule type="cellIs" dxfId="1462" priority="80" stopIfTrue="1" operator="equal">
      <formula>"Pasa"</formula>
    </cfRule>
    <cfRule type="cellIs" dxfId="1461" priority="81" stopIfTrue="1" operator="equal">
      <formula>"Falla"</formula>
    </cfRule>
    <cfRule type="cellIs" dxfId="1460" priority="82" stopIfTrue="1" operator="equal">
      <formula>"N/A"</formula>
    </cfRule>
    <cfRule type="cellIs" dxfId="1459" priority="83" stopIfTrue="1" operator="equal">
      <formula>"N/T"</formula>
    </cfRule>
    <cfRule type="cellIs" dxfId="1458" priority="84" stopIfTrue="1" operator="equal">
      <formula>"N/D"</formula>
    </cfRule>
  </conditionalFormatting>
  <conditionalFormatting sqref="D285:D300">
    <cfRule type="cellIs" dxfId="1457" priority="78" stopIfTrue="1" operator="equal">
      <formula>"-"</formula>
    </cfRule>
  </conditionalFormatting>
  <conditionalFormatting sqref="D323:D338">
    <cfRule type="expression" dxfId="1456" priority="72" stopIfTrue="1">
      <formula>ISBLANK(D323)</formula>
    </cfRule>
    <cfRule type="cellIs" dxfId="1455" priority="73" stopIfTrue="1" operator="equal">
      <formula>"Pasa"</formula>
    </cfRule>
    <cfRule type="cellIs" dxfId="1454" priority="74" stopIfTrue="1" operator="equal">
      <formula>"Falla"</formula>
    </cfRule>
    <cfRule type="cellIs" dxfId="1453" priority="75" stopIfTrue="1" operator="equal">
      <formula>"N/A"</formula>
    </cfRule>
    <cfRule type="cellIs" dxfId="1452" priority="76" stopIfTrue="1" operator="equal">
      <formula>"N/T"</formula>
    </cfRule>
    <cfRule type="cellIs" dxfId="1451" priority="77" stopIfTrue="1" operator="equal">
      <formula>"N/D"</formula>
    </cfRule>
  </conditionalFormatting>
  <conditionalFormatting sqref="D323:D338">
    <cfRule type="cellIs" dxfId="1450" priority="71" stopIfTrue="1" operator="equal">
      <formula>"-"</formula>
    </cfRule>
  </conditionalFormatting>
  <conditionalFormatting sqref="D361:D376">
    <cfRule type="expression" dxfId="1449" priority="65" stopIfTrue="1">
      <formula>ISBLANK(D361)</formula>
    </cfRule>
    <cfRule type="cellIs" dxfId="1448" priority="66" stopIfTrue="1" operator="equal">
      <formula>"Pasa"</formula>
    </cfRule>
    <cfRule type="cellIs" dxfId="1447" priority="67" stopIfTrue="1" operator="equal">
      <formula>"Falla"</formula>
    </cfRule>
    <cfRule type="cellIs" dxfId="1446" priority="68" stopIfTrue="1" operator="equal">
      <formula>"N/A"</formula>
    </cfRule>
    <cfRule type="cellIs" dxfId="1445" priority="69" stopIfTrue="1" operator="equal">
      <formula>"N/T"</formula>
    </cfRule>
    <cfRule type="cellIs" dxfId="1444" priority="70" stopIfTrue="1" operator="equal">
      <formula>"N/D"</formula>
    </cfRule>
  </conditionalFormatting>
  <conditionalFormatting sqref="D361:D376">
    <cfRule type="cellIs" dxfId="1443" priority="64" stopIfTrue="1" operator="equal">
      <formula>"-"</formula>
    </cfRule>
  </conditionalFormatting>
  <conditionalFormatting sqref="D399:D414">
    <cfRule type="expression" dxfId="1442" priority="58" stopIfTrue="1">
      <formula>ISBLANK(D399)</formula>
    </cfRule>
    <cfRule type="cellIs" dxfId="1441" priority="59" stopIfTrue="1" operator="equal">
      <formula>"Pasa"</formula>
    </cfRule>
    <cfRule type="cellIs" dxfId="1440" priority="60" stopIfTrue="1" operator="equal">
      <formula>"Falla"</formula>
    </cfRule>
    <cfRule type="cellIs" dxfId="1439" priority="61" stopIfTrue="1" operator="equal">
      <formula>"N/A"</formula>
    </cfRule>
    <cfRule type="cellIs" dxfId="1438" priority="62" stopIfTrue="1" operator="equal">
      <formula>"N/T"</formula>
    </cfRule>
    <cfRule type="cellIs" dxfId="1437" priority="63" stopIfTrue="1" operator="equal">
      <formula>"N/D"</formula>
    </cfRule>
  </conditionalFormatting>
  <conditionalFormatting sqref="D399:D414">
    <cfRule type="cellIs" dxfId="1436" priority="57" stopIfTrue="1" operator="equal">
      <formula>"-"</formula>
    </cfRule>
  </conditionalFormatting>
  <conditionalFormatting sqref="D437:D452">
    <cfRule type="expression" dxfId="1435" priority="51" stopIfTrue="1">
      <formula>ISBLANK(D437)</formula>
    </cfRule>
    <cfRule type="cellIs" dxfId="1434" priority="52" stopIfTrue="1" operator="equal">
      <formula>"Pasa"</formula>
    </cfRule>
    <cfRule type="cellIs" dxfId="1433" priority="53" stopIfTrue="1" operator="equal">
      <formula>"Falla"</formula>
    </cfRule>
    <cfRule type="cellIs" dxfId="1432" priority="54" stopIfTrue="1" operator="equal">
      <formula>"N/A"</formula>
    </cfRule>
    <cfRule type="cellIs" dxfId="1431" priority="55" stopIfTrue="1" operator="equal">
      <formula>"N/T"</formula>
    </cfRule>
    <cfRule type="cellIs" dxfId="1430" priority="56" stopIfTrue="1" operator="equal">
      <formula>"N/D"</formula>
    </cfRule>
  </conditionalFormatting>
  <conditionalFormatting sqref="D437:D452">
    <cfRule type="cellIs" dxfId="1429" priority="50" stopIfTrue="1" operator="equal">
      <formula>"-"</formula>
    </cfRule>
  </conditionalFormatting>
  <conditionalFormatting sqref="D475:D490">
    <cfRule type="expression" dxfId="1428" priority="44" stopIfTrue="1">
      <formula>ISBLANK(D475)</formula>
    </cfRule>
    <cfRule type="cellIs" dxfId="1427" priority="45" stopIfTrue="1" operator="equal">
      <formula>"Pasa"</formula>
    </cfRule>
    <cfRule type="cellIs" dxfId="1426" priority="46" stopIfTrue="1" operator="equal">
      <formula>"Falla"</formula>
    </cfRule>
    <cfRule type="cellIs" dxfId="1425" priority="47" stopIfTrue="1" operator="equal">
      <formula>"N/A"</formula>
    </cfRule>
    <cfRule type="cellIs" dxfId="1424" priority="48" stopIfTrue="1" operator="equal">
      <formula>"N/T"</formula>
    </cfRule>
    <cfRule type="cellIs" dxfId="1423" priority="49" stopIfTrue="1" operator="equal">
      <formula>"N/D"</formula>
    </cfRule>
  </conditionalFormatting>
  <conditionalFormatting sqref="D475:D490">
    <cfRule type="cellIs" dxfId="1422" priority="43" stopIfTrue="1" operator="equal">
      <formula>"-"</formula>
    </cfRule>
  </conditionalFormatting>
  <conditionalFormatting sqref="D513:D528">
    <cfRule type="expression" dxfId="1421" priority="37" stopIfTrue="1">
      <formula>ISBLANK(D513)</formula>
    </cfRule>
    <cfRule type="cellIs" dxfId="1420" priority="38" stopIfTrue="1" operator="equal">
      <formula>"Pasa"</formula>
    </cfRule>
    <cfRule type="cellIs" dxfId="1419" priority="39" stopIfTrue="1" operator="equal">
      <formula>"Falla"</formula>
    </cfRule>
    <cfRule type="cellIs" dxfId="1418" priority="40" stopIfTrue="1" operator="equal">
      <formula>"N/A"</formula>
    </cfRule>
    <cfRule type="cellIs" dxfId="1417" priority="41" stopIfTrue="1" operator="equal">
      <formula>"N/T"</formula>
    </cfRule>
    <cfRule type="cellIs" dxfId="1416" priority="42" stopIfTrue="1" operator="equal">
      <formula>"N/D"</formula>
    </cfRule>
  </conditionalFormatting>
  <conditionalFormatting sqref="D513:D528">
    <cfRule type="cellIs" dxfId="1415" priority="36" stopIfTrue="1" operator="equal">
      <formula>"-"</formula>
    </cfRule>
  </conditionalFormatting>
  <conditionalFormatting sqref="D551:D566">
    <cfRule type="expression" dxfId="1414" priority="30" stopIfTrue="1">
      <formula>ISBLANK(D551)</formula>
    </cfRule>
    <cfRule type="cellIs" dxfId="1413" priority="31" stopIfTrue="1" operator="equal">
      <formula>"Pasa"</formula>
    </cfRule>
    <cfRule type="cellIs" dxfId="1412" priority="32" stopIfTrue="1" operator="equal">
      <formula>"Falla"</formula>
    </cfRule>
    <cfRule type="cellIs" dxfId="1411" priority="33" stopIfTrue="1" operator="equal">
      <formula>"N/A"</formula>
    </cfRule>
    <cfRule type="cellIs" dxfId="1410" priority="34" stopIfTrue="1" operator="equal">
      <formula>"N/T"</formula>
    </cfRule>
    <cfRule type="cellIs" dxfId="1409" priority="35" stopIfTrue="1" operator="equal">
      <formula>"N/D"</formula>
    </cfRule>
  </conditionalFormatting>
  <conditionalFormatting sqref="D551:D566">
    <cfRule type="cellIs" dxfId="1408" priority="29" stopIfTrue="1" operator="equal">
      <formula>"-"</formula>
    </cfRule>
  </conditionalFormatting>
  <conditionalFormatting sqref="D589:D604">
    <cfRule type="expression" dxfId="1407" priority="23" stopIfTrue="1">
      <formula>ISBLANK(D589)</formula>
    </cfRule>
    <cfRule type="cellIs" dxfId="1406" priority="24" stopIfTrue="1" operator="equal">
      <formula>"Pasa"</formula>
    </cfRule>
    <cfRule type="cellIs" dxfId="1405" priority="25" stopIfTrue="1" operator="equal">
      <formula>"Falla"</formula>
    </cfRule>
    <cfRule type="cellIs" dxfId="1404" priority="26" stopIfTrue="1" operator="equal">
      <formula>"N/A"</formula>
    </cfRule>
    <cfRule type="cellIs" dxfId="1403" priority="27" stopIfTrue="1" operator="equal">
      <formula>"N/T"</formula>
    </cfRule>
    <cfRule type="cellIs" dxfId="1402" priority="28" stopIfTrue="1" operator="equal">
      <formula>"N/D"</formula>
    </cfRule>
  </conditionalFormatting>
  <conditionalFormatting sqref="D589:D604">
    <cfRule type="cellIs" dxfId="1401" priority="22" stopIfTrue="1" operator="equal">
      <formula>"-"</formula>
    </cfRule>
  </conditionalFormatting>
  <conditionalFormatting sqref="D627:D642">
    <cfRule type="expression" dxfId="1400" priority="16" stopIfTrue="1">
      <formula>ISBLANK(D627)</formula>
    </cfRule>
    <cfRule type="cellIs" dxfId="1399" priority="17" stopIfTrue="1" operator="equal">
      <formula>"Pasa"</formula>
    </cfRule>
    <cfRule type="cellIs" dxfId="1398" priority="18" stopIfTrue="1" operator="equal">
      <formula>"Falla"</formula>
    </cfRule>
    <cfRule type="cellIs" dxfId="1397" priority="19" stopIfTrue="1" operator="equal">
      <formula>"N/A"</formula>
    </cfRule>
    <cfRule type="cellIs" dxfId="1396" priority="20" stopIfTrue="1" operator="equal">
      <formula>"N/T"</formula>
    </cfRule>
    <cfRule type="cellIs" dxfId="1395" priority="21" stopIfTrue="1" operator="equal">
      <formula>"N/D"</formula>
    </cfRule>
  </conditionalFormatting>
  <conditionalFormatting sqref="D627:D642">
    <cfRule type="cellIs" dxfId="1394" priority="15" stopIfTrue="1" operator="equal">
      <formula>"-"</formula>
    </cfRule>
  </conditionalFormatting>
  <conditionalFormatting sqref="D665:D680">
    <cfRule type="expression" dxfId="1393" priority="9" stopIfTrue="1">
      <formula>ISBLANK(D665)</formula>
    </cfRule>
    <cfRule type="cellIs" dxfId="1392" priority="10" stopIfTrue="1" operator="equal">
      <formula>"Pasa"</formula>
    </cfRule>
    <cfRule type="cellIs" dxfId="1391" priority="11" stopIfTrue="1" operator="equal">
      <formula>"Falla"</formula>
    </cfRule>
    <cfRule type="cellIs" dxfId="1390" priority="12" stopIfTrue="1" operator="equal">
      <formula>"N/A"</formula>
    </cfRule>
    <cfRule type="cellIs" dxfId="1389" priority="13" stopIfTrue="1" operator="equal">
      <formula>"N/T"</formula>
    </cfRule>
    <cfRule type="cellIs" dxfId="1388" priority="14" stopIfTrue="1" operator="equal">
      <formula>"N/D"</formula>
    </cfRule>
  </conditionalFormatting>
  <conditionalFormatting sqref="D665:D680">
    <cfRule type="cellIs" dxfId="1387" priority="8" stopIfTrue="1" operator="equal">
      <formula>"-"</formula>
    </cfRule>
  </conditionalFormatting>
  <conditionalFormatting sqref="D703:D718">
    <cfRule type="expression" dxfId="1386" priority="2" stopIfTrue="1">
      <formula>ISBLANK(D703)</formula>
    </cfRule>
    <cfRule type="cellIs" dxfId="1385" priority="3" stopIfTrue="1" operator="equal">
      <formula>"Pasa"</formula>
    </cfRule>
    <cfRule type="cellIs" dxfId="1384" priority="4" stopIfTrue="1" operator="equal">
      <formula>"Falla"</formula>
    </cfRule>
    <cfRule type="cellIs" dxfId="1383" priority="5" stopIfTrue="1" operator="equal">
      <formula>"N/A"</formula>
    </cfRule>
    <cfRule type="cellIs" dxfId="1382" priority="6" stopIfTrue="1" operator="equal">
      <formula>"N/T"</formula>
    </cfRule>
    <cfRule type="cellIs" dxfId="1381" priority="7" stopIfTrue="1" operator="equal">
      <formula>"N/D"</formula>
    </cfRule>
  </conditionalFormatting>
  <conditionalFormatting sqref="D703:D718">
    <cfRule type="cellIs" dxfId="138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L695"/>
  <sheetViews>
    <sheetView zoomScale="85" zoomScaleNormal="85"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319</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COUNTIF($B$18:$B$4076,B12)</f>
        <v>9</v>
      </c>
      <c r="D12" s="28"/>
      <c r="E12" s="14"/>
      <c r="F12" s="62" t="s">
        <v>26</v>
      </c>
      <c r="G12" s="61">
        <f ca="1">J20+J58+J96+J134+J172+J210+J248+J286+J324</f>
        <v>6</v>
      </c>
      <c r="H12" s="53">
        <f ca="1">IF(($G$15+$K$15)=0,0,G12/($G$15+$K$15))</f>
        <v>4.1666666666666664E-2</v>
      </c>
      <c r="I12" s="28"/>
      <c r="J12" s="60" t="s">
        <v>27</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f>
        <v>0</v>
      </c>
      <c r="H13" s="53">
        <f ca="1">IF(($G$15+$K$15)=0,0,G13/($G$15+$K$15))</f>
        <v>0</v>
      </c>
      <c r="I13" s="28"/>
      <c r="J13" s="60" t="s">
        <v>29</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30</v>
      </c>
      <c r="C14" s="59">
        <f>C12+C13</f>
        <v>9</v>
      </c>
      <c r="D14" s="28"/>
      <c r="E14" s="14"/>
      <c r="F14" s="62" t="s">
        <v>31</v>
      </c>
      <c r="G14" s="61">
        <f ca="1">H20+H58+H96+H134+H172+H210+H248+H286+H324</f>
        <v>138</v>
      </c>
      <c r="H14" s="53">
        <f ca="1">IF(($G$15+$K$15)=0,0,G14/($G$15+$K$15))</f>
        <v>0.95833333333333337</v>
      </c>
      <c r="I14" s="28"/>
      <c r="J14" s="231" t="s">
        <v>474</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144</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255</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https://www.comunidad.madrid/hospital/clinicosancarlos/</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https://www.comunidad.madrid/hospital/clinicosancarlos/ciudadanos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14</v>
      </c>
      <c r="I20" s="120">
        <f ca="1">COUNTIF($D19:INDIRECT("$D" &amp;  SUM(ROW()-1,'03.Muestra'!$D$45)-1),I19)</f>
        <v>0</v>
      </c>
      <c r="J20" s="120">
        <f ca="1">COUNTIF($D19:INDIRECT("$D" &amp;  SUM(ROW()-1,'03.Muestra'!$D$45)-1),J19)</f>
        <v>2</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Consultas externas</v>
      </c>
      <c r="C21" s="114" t="str" cm="1">
        <f t="array" ref="C21">IFERROR(INDEX('03.Muestra'!$F$8:$F$42,SMALL(IF("Página Web"='03.Muestra'!$D$8:$D$42,ROW('03.Muestra'!$F$8:$F$42)-MIN(ROW('03.Muestra'!$D$8:$D$42))+1,""),ROW()-18)),"")</f>
        <v>https://www.comunidad.madrid/hospital/clinicosancarlos/ciudadanos/consultas-externas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Donación</v>
      </c>
      <c r="C22" s="114" t="str" cm="1">
        <f t="array" ref="C22">IFERROR(INDEX('03.Muestra'!$F$8:$F$42,SMALL(IF("Página Web"='03.Muestra'!$D$8:$D$42,ROW('03.Muestra'!$F$8:$F$42)-MIN(ROW('03.Muestra'!$D$8:$D$42))+1,""),ROW()-18)),"")</f>
        <v>https://www.comunidad.madrid/hospital/clinicosancarlos/ciudadanos/donacion-0</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https://www.comunidad.madrid/hospital/clinicosancarlos/profesionales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Docencia</v>
      </c>
      <c r="C24" s="114" t="str" cm="1">
        <f t="array" ref="C24">IFERROR(INDEX('03.Muestra'!$F$8:$F$42,SMALL(IF("Página Web"='03.Muestra'!$D$8:$D$42,ROW('03.Muestra'!$F$8:$F$42)-MIN(ROW('03.Muestra'!$D$8:$D$42))+1,""),ROW()-18)),"")</f>
        <v>https://www.comunidad.madrid/hospital/clinicosancarlos/profesionales/docencia</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Referencia</v>
      </c>
      <c r="C25" s="114" t="str" cm="1">
        <f t="array" ref="C25">IFERROR(INDEX('03.Muestra'!$F$8:$F$42,SMALL(IF("Página Web"='03.Muestra'!$D$8:$D$42,ROW('03.Muestra'!$F$8:$F$42)-MIN(ROW('03.Muestra'!$D$8:$D$42))+1,""),ROW()-18)),"")</f>
        <v>https://www.comunidad.madrid/hospital/clinicosancarlos/profesionales/unidades-referencia-nacional-redes-europeas</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Comunicación</v>
      </c>
      <c r="C26" s="114" t="str" cm="1">
        <f t="array" ref="C26">IFERROR(INDEX('03.Muestra'!$F$8:$F$42,SMALL(IF("Página Web"='03.Muestra'!$D$8:$D$42,ROW('03.Muestra'!$F$8:$F$42)-MIN(ROW('03.Muestra'!$D$8:$D$42))+1,""),ROW()-18)),"")</f>
        <v>https://www.comunidad.madrid/hospital/clinicosancarlos/comunicacion</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Videoteca</v>
      </c>
      <c r="C27" s="114" t="str" cm="1">
        <f t="array" ref="C27">IFERROR(INDEX('03.Muestra'!$F$8:$F$42,SMALL(IF("Página Web"='03.Muestra'!$D$8:$D$42,ROW('03.Muestra'!$F$8:$F$42)-MIN(ROW('03.Muestra'!$D$8:$D$42))+1,""),ROW()-18)),"")</f>
        <v>https://www.comunidad.madrid/hospital/clinicosancarlos/comunicacion/videoteca</v>
      </c>
      <c r="D27" s="130" t="s">
        <v>26</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Noticias</v>
      </c>
      <c r="C28" s="114" t="str" cm="1">
        <f t="array" ref="C28">IFERROR(INDEX('03.Muestra'!$F$8:$F$42,SMALL(IF("Página Web"='03.Muestra'!$D$8:$D$42,ROW('03.Muestra'!$F$8:$F$42)-MIN(ROW('03.Muestra'!$D$8:$D$42))+1,""),ROW()-18)),"")</f>
        <v>https://www.comunidad.madrid/hospital/clinicosancarlos/comunicacion/noticias</v>
      </c>
      <c r="D28" s="130" t="s">
        <v>35</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Nosotros</v>
      </c>
      <c r="C29" s="114" t="str" cm="1">
        <f t="array" ref="C29">IFERROR(INDEX('03.Muestra'!$F$8:$F$42,SMALL(IF("Página Web"='03.Muestra'!$D$8:$D$42,ROW('03.Muestra'!$F$8:$F$42)-MIN(ROW('03.Muestra'!$D$8:$D$42))+1,""),ROW()-18)),"")</f>
        <v>https://www.comunidad.madrid/hospital/clinicosancarlos/nosotros</v>
      </c>
      <c r="D29" s="130" t="s">
        <v>35</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Gestión Ambiental</v>
      </c>
      <c r="C30" s="114" t="str" cm="1">
        <f t="array" ref="C30">IFERROR(INDEX('03.Muestra'!$F$8:$F$42,SMALL(IF("Página Web"='03.Muestra'!$D$8:$D$42,ROW('03.Muestra'!$F$8:$F$42)-MIN(ROW('03.Muestra'!$D$8:$D$42))+1,""),ROW()-18)),"")</f>
        <v>https://www.comunidad.madrid/hospital/clinicosancarlos/nosotros/gestion-ambiental</v>
      </c>
      <c r="D30" s="130" t="s">
        <v>35</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Proveedores</v>
      </c>
      <c r="C31" s="114" t="str" cm="1">
        <f t="array" ref="C31">IFERROR(INDEX('03.Muestra'!$F$8:$F$42,SMALL(IF("Página Web"='03.Muestra'!$D$8:$D$42,ROW('03.Muestra'!$F$8:$F$42)-MIN(ROW('03.Muestra'!$D$8:$D$42))+1,""),ROW()-18)),"")</f>
        <v>https://www.comunidad.madrid/hospital/clinicosancarlos/nosotros/proveedores-0</v>
      </c>
      <c r="D31" s="130" t="s">
        <v>35</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Aviso legal</v>
      </c>
      <c r="C32" s="114" t="str" cm="1">
        <f t="array" ref="C32">IFERROR(INDEX('03.Muestra'!$F$8:$F$42,SMALL(IF("Página Web"='03.Muestra'!$D$8:$D$42,ROW('03.Muestra'!$F$8:$F$42)-MIN(ROW('03.Muestra'!$D$8:$D$42))+1,""),ROW()-18)),"")</f>
        <v>https://www.comunidad.madrid/hospital/clinicosancarlos/aviso-legal-privacidad</v>
      </c>
      <c r="D32" s="130" t="s">
        <v>35</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Mapa web</v>
      </c>
      <c r="C33" s="114" t="str" cm="1">
        <f t="array" ref="C33">IFERROR(INDEX('03.Muestra'!$F$8:$F$42,SMALL(IF("Página Web"='03.Muestra'!$D$8:$D$42,ROW('03.Muestra'!$F$8:$F$42)-MIN(ROW('03.Muestra'!$D$8:$D$42))+1,""),ROW()-18)),"")</f>
        <v>https://www.comunidad.madrid/hospital/clinicosancarlos/sitemap</v>
      </c>
      <c r="D33" s="130" t="s">
        <v>35</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Accesibilidad</v>
      </c>
      <c r="C34" s="114" t="str" cm="1">
        <f t="array" ref="C34">IFERROR(INDEX('03.Muestra'!$F$8:$F$42,SMALL(IF("Página Web"='03.Muestra'!$D$8:$D$42,ROW('03.Muestra'!$F$8:$F$42)-MIN(ROW('03.Muestra'!$D$8:$D$42))+1,""),ROW()-18)),"")</f>
        <v>https://www.comunidad.madrid/hospital/clinicosancarlos/declaracion-accesibilidad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268</v>
      </c>
      <c r="B56" s="24" t="s">
        <v>90</v>
      </c>
      <c r="C56" s="25" t="s">
        <v>256</v>
      </c>
      <c r="D56" s="26" t="s">
        <v>32</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https://www.comunidad.madrid/hospital/clinicosancarlos/</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https://www.comunidad.madrid/hospital/clinicosancarlos/ciudadanos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14</v>
      </c>
      <c r="I58" s="120">
        <f ca="1">COUNTIF($D57:INDIRECT("$D" &amp;  SUM(ROW()-1,'03.Muestra'!$D$45)-1),I57)</f>
        <v>0</v>
      </c>
      <c r="J58" s="120">
        <f ca="1">COUNTIF($D57:INDIRECT("$D" &amp;  SUM(ROW()-1,'03.Muestra'!$D$45)-1),J57)</f>
        <v>2</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Consultas externas</v>
      </c>
      <c r="C59" s="114" t="str" cm="1">
        <f t="array" ref="C59">IFERROR(INDEX('03.Muestra'!$F$8:$F$42,SMALL(IF("Página Web"='03.Muestra'!$D$8:$D$42,ROW('03.Muestra'!$F$8:$F$42)-MIN(ROW('03.Muestra'!$D$8:$D$42))+1,""),ROW()-56)),"")</f>
        <v>https://www.comunidad.madrid/hospital/clinicosancarlos/ciudadanos/consultas-externas</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Donación</v>
      </c>
      <c r="C60" s="114" t="str" cm="1">
        <f t="array" ref="C60">IFERROR(INDEX('03.Muestra'!$F$8:$F$42,SMALL(IF("Página Web"='03.Muestra'!$D$8:$D$42,ROW('03.Muestra'!$F$8:$F$42)-MIN(ROW('03.Muestra'!$D$8:$D$42))+1,""),ROW()-56)),"")</f>
        <v>https://www.comunidad.madrid/hospital/clinicosancarlos/ciudadanos/donacion-0</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https://www.comunidad.madrid/hospital/clinicosancarlos/profesionales</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Docencia</v>
      </c>
      <c r="C62" s="114" t="str" cm="1">
        <f t="array" ref="C62">IFERROR(INDEX('03.Muestra'!$F$8:$F$42,SMALL(IF("Página Web"='03.Muestra'!$D$8:$D$42,ROW('03.Muestra'!$F$8:$F$42)-MIN(ROW('03.Muestra'!$D$8:$D$42))+1,""),ROW()-56)),"")</f>
        <v>https://www.comunidad.madrid/hospital/clinicosancarlos/profesionales/docencia</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Referencia</v>
      </c>
      <c r="C63" s="114" t="str" cm="1">
        <f t="array" ref="C63">IFERROR(INDEX('03.Muestra'!$F$8:$F$42,SMALL(IF("Página Web"='03.Muestra'!$D$8:$D$42,ROW('03.Muestra'!$F$8:$F$42)-MIN(ROW('03.Muestra'!$D$8:$D$42))+1,""),ROW()-56)),"")</f>
        <v>https://www.comunidad.madrid/hospital/clinicosancarlos/profesionales/unidades-referencia-nacional-redes-europeas</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Comunicación</v>
      </c>
      <c r="C64" s="114" t="str" cm="1">
        <f t="array" ref="C64">IFERROR(INDEX('03.Muestra'!$F$8:$F$42,SMALL(IF("Página Web"='03.Muestra'!$D$8:$D$42,ROW('03.Muestra'!$F$8:$F$42)-MIN(ROW('03.Muestra'!$D$8:$D$42))+1,""),ROW()-56)),"")</f>
        <v>https://www.comunidad.madrid/hospital/clinicosancarlos/comunicacion</v>
      </c>
      <c r="D64" s="130" t="s">
        <v>26</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Videoteca</v>
      </c>
      <c r="C65" s="114" t="str" cm="1">
        <f t="array" ref="C65">IFERROR(INDEX('03.Muestra'!$F$8:$F$42,SMALL(IF("Página Web"='03.Muestra'!$D$8:$D$42,ROW('03.Muestra'!$F$8:$F$42)-MIN(ROW('03.Muestra'!$D$8:$D$42))+1,""),ROW()-56)),"")</f>
        <v>https://www.comunidad.madrid/hospital/clinicosancarlos/comunicacion/videoteca</v>
      </c>
      <c r="D65" s="130" t="s">
        <v>26</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Noticias</v>
      </c>
      <c r="C66" s="114" t="str" cm="1">
        <f t="array" ref="C66">IFERROR(INDEX('03.Muestra'!$F$8:$F$42,SMALL(IF("Página Web"='03.Muestra'!$D$8:$D$42,ROW('03.Muestra'!$F$8:$F$42)-MIN(ROW('03.Muestra'!$D$8:$D$42))+1,""),ROW()-56)),"")</f>
        <v>https://www.comunidad.madrid/hospital/clinicosancarlos/comunicacion/noticias</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Nosotros</v>
      </c>
      <c r="C67" s="114" t="str" cm="1">
        <f t="array" ref="C67">IFERROR(INDEX('03.Muestra'!$F$8:$F$42,SMALL(IF("Página Web"='03.Muestra'!$D$8:$D$42,ROW('03.Muestra'!$F$8:$F$42)-MIN(ROW('03.Muestra'!$D$8:$D$42))+1,""),ROW()-56)),"")</f>
        <v>https://www.comunidad.madrid/hospital/clinicosancarlos/nosotros</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Gestión Ambiental</v>
      </c>
      <c r="C68" s="114" t="str" cm="1">
        <f t="array" ref="C68">IFERROR(INDEX('03.Muestra'!$F$8:$F$42,SMALL(IF("Página Web"='03.Muestra'!$D$8:$D$42,ROW('03.Muestra'!$F$8:$F$42)-MIN(ROW('03.Muestra'!$D$8:$D$42))+1,""),ROW()-56)),"")</f>
        <v>https://www.comunidad.madrid/hospital/clinicosancarlos/nosotros/gestion-ambiental</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Proveedores</v>
      </c>
      <c r="C69" s="114" t="str" cm="1">
        <f t="array" ref="C69">IFERROR(INDEX('03.Muestra'!$F$8:$F$42,SMALL(IF("Página Web"='03.Muestra'!$D$8:$D$42,ROW('03.Muestra'!$F$8:$F$42)-MIN(ROW('03.Muestra'!$D$8:$D$42))+1,""),ROW()-56)),"")</f>
        <v>https://www.comunidad.madrid/hospital/clinicosancarlos/nosotros/proveedores-0</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Aviso legal</v>
      </c>
      <c r="C70" s="114" t="str" cm="1">
        <f t="array" ref="C70">IFERROR(INDEX('03.Muestra'!$F$8:$F$42,SMALL(IF("Página Web"='03.Muestra'!$D$8:$D$42,ROW('03.Muestra'!$F$8:$F$42)-MIN(ROW('03.Muestra'!$D$8:$D$42))+1,""),ROW()-56)),"")</f>
        <v>https://www.comunidad.madrid/hospital/clinicosancarlos/aviso-legal-privacidad</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Mapa web</v>
      </c>
      <c r="C71" s="114" t="str" cm="1">
        <f t="array" ref="C71">IFERROR(INDEX('03.Muestra'!$F$8:$F$42,SMALL(IF("Página Web"='03.Muestra'!$D$8:$D$42,ROW('03.Muestra'!$F$8:$F$42)-MIN(ROW('03.Muestra'!$D$8:$D$42))+1,""),ROW()-56)),"")</f>
        <v>https://www.comunidad.madrid/hospital/clinicosancarlos/sitemap</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Accesibilidad</v>
      </c>
      <c r="C72" s="114" t="str" cm="1">
        <f t="array" ref="C72">IFERROR(INDEX('03.Muestra'!$F$8:$F$42,SMALL(IF("Página Web"='03.Muestra'!$D$8:$D$42,ROW('03.Muestra'!$F$8:$F$42)-MIN(ROW('03.Muestra'!$D$8:$D$42))+1,""),ROW()-56)),"")</f>
        <v>https://www.comunidad.madrid/hospital/clinicosancarlos/declaracion-accesibilidad</v>
      </c>
      <c r="D72" s="130" t="s">
        <v>35</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257</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https://www.comunidad.madrid/hospital/clinicosancarlos/</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https://www.comunidad.madrid/hospital/clinicosancarlos/ciudadanos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Consultas externas</v>
      </c>
      <c r="C97" s="114" t="str" cm="1">
        <f t="array" ref="C97">IFERROR(INDEX('03.Muestra'!$F$8:$F$42,SMALL(IF("Página Web"='03.Muestra'!$D$8:$D$42,ROW('03.Muestra'!$F$8:$F$42)-MIN(ROW('03.Muestra'!$D$8:$D$42))+1,""),ROW()-94)),"")</f>
        <v>https://www.comunidad.madrid/hospital/clinicosancarlos/ciudadanos/consultas-externas</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Donación</v>
      </c>
      <c r="C98" s="114" t="str" cm="1">
        <f t="array" ref="C98">IFERROR(INDEX('03.Muestra'!$F$8:$F$42,SMALL(IF("Página Web"='03.Muestra'!$D$8:$D$42,ROW('03.Muestra'!$F$8:$F$42)-MIN(ROW('03.Muestra'!$D$8:$D$42))+1,""),ROW()-94)),"")</f>
        <v>https://www.comunidad.madrid/hospital/clinicosancarlos/ciudadanos/donacion-0</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https://www.comunidad.madrid/hospital/clinicosancarlos/profesionales</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Docencia</v>
      </c>
      <c r="C100" s="114" t="str" cm="1">
        <f t="array" ref="C100">IFERROR(INDEX('03.Muestra'!$F$8:$F$42,SMALL(IF("Página Web"='03.Muestra'!$D$8:$D$42,ROW('03.Muestra'!$F$8:$F$42)-MIN(ROW('03.Muestra'!$D$8:$D$42))+1,""),ROW()-94)),"")</f>
        <v>https://www.comunidad.madrid/hospital/clinicosancarlos/profesionales/docencia</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Referencia</v>
      </c>
      <c r="C101" s="114" t="str" cm="1">
        <f t="array" ref="C101">IFERROR(INDEX('03.Muestra'!$F$8:$F$42,SMALL(IF("Página Web"='03.Muestra'!$D$8:$D$42,ROW('03.Muestra'!$F$8:$F$42)-MIN(ROW('03.Muestra'!$D$8:$D$42))+1,""),ROW()-94)),"")</f>
        <v>https://www.comunidad.madrid/hospital/clinicosancarlos/profesionales/unidades-referencia-nacional-redes-europeas</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Comunicación</v>
      </c>
      <c r="C102" s="114" t="str" cm="1">
        <f t="array" ref="C102">IFERROR(INDEX('03.Muestra'!$F$8:$F$42,SMALL(IF("Página Web"='03.Muestra'!$D$8:$D$42,ROW('03.Muestra'!$F$8:$F$42)-MIN(ROW('03.Muestra'!$D$8:$D$42))+1,""),ROW()-94)),"")</f>
        <v>https://www.comunidad.madrid/hospital/clinicosancarlos/comunicacion</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Videoteca</v>
      </c>
      <c r="C103" s="114" t="str" cm="1">
        <f t="array" ref="C103">IFERROR(INDEX('03.Muestra'!$F$8:$F$42,SMALL(IF("Página Web"='03.Muestra'!$D$8:$D$42,ROW('03.Muestra'!$F$8:$F$42)-MIN(ROW('03.Muestra'!$D$8:$D$42))+1,""),ROW()-94)),"")</f>
        <v>https://www.comunidad.madrid/hospital/clinicosancarlos/comunicacion/videoteca</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Noticias</v>
      </c>
      <c r="C104" s="114" t="str" cm="1">
        <f t="array" ref="C104">IFERROR(INDEX('03.Muestra'!$F$8:$F$42,SMALL(IF("Página Web"='03.Muestra'!$D$8:$D$42,ROW('03.Muestra'!$F$8:$F$42)-MIN(ROW('03.Muestra'!$D$8:$D$42))+1,""),ROW()-94)),"")</f>
        <v>https://www.comunidad.madrid/hospital/clinicosancarlos/comunicacion/noticias</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Nosotros</v>
      </c>
      <c r="C105" s="114" t="str" cm="1">
        <f t="array" ref="C105">IFERROR(INDEX('03.Muestra'!$F$8:$F$42,SMALL(IF("Página Web"='03.Muestra'!$D$8:$D$42,ROW('03.Muestra'!$F$8:$F$42)-MIN(ROW('03.Muestra'!$D$8:$D$42))+1,""),ROW()-94)),"")</f>
        <v>https://www.comunidad.madrid/hospital/clinicosancarlos/nosotros</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Gestión Ambiental</v>
      </c>
      <c r="C106" s="114" t="str" cm="1">
        <f t="array" ref="C106">IFERROR(INDEX('03.Muestra'!$F$8:$F$42,SMALL(IF("Página Web"='03.Muestra'!$D$8:$D$42,ROW('03.Muestra'!$F$8:$F$42)-MIN(ROW('03.Muestra'!$D$8:$D$42))+1,""),ROW()-94)),"")</f>
        <v>https://www.comunidad.madrid/hospital/clinicosancarlos/nosotros/gestion-ambiental</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Proveedores</v>
      </c>
      <c r="C107" s="114" t="str" cm="1">
        <f t="array" ref="C107">IFERROR(INDEX('03.Muestra'!$F$8:$F$42,SMALL(IF("Página Web"='03.Muestra'!$D$8:$D$42,ROW('03.Muestra'!$F$8:$F$42)-MIN(ROW('03.Muestra'!$D$8:$D$42))+1,""),ROW()-94)),"")</f>
        <v>https://www.comunidad.madrid/hospital/clinicosancarlos/nosotros/proveedores-0</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Aviso legal</v>
      </c>
      <c r="C108" s="114" t="str" cm="1">
        <f t="array" ref="C108">IFERROR(INDEX('03.Muestra'!$F$8:$F$42,SMALL(IF("Página Web"='03.Muestra'!$D$8:$D$42,ROW('03.Muestra'!$F$8:$F$42)-MIN(ROW('03.Muestra'!$D$8:$D$42))+1,""),ROW()-94)),"")</f>
        <v>https://www.comunidad.madrid/hospital/clinicosancarlos/aviso-legal-privacidad</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Mapa web</v>
      </c>
      <c r="C109" s="114" t="str" cm="1">
        <f t="array" ref="C109">IFERROR(INDEX('03.Muestra'!$F$8:$F$42,SMALL(IF("Página Web"='03.Muestra'!$D$8:$D$42,ROW('03.Muestra'!$F$8:$F$42)-MIN(ROW('03.Muestra'!$D$8:$D$42))+1,""),ROW()-94)),"")</f>
        <v>https://www.comunidad.madrid/hospital/clinicosancarlos/sitemap</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Accesibilidad</v>
      </c>
      <c r="C110" s="114" t="str" cm="1">
        <f t="array" ref="C110">IFERROR(INDEX('03.Muestra'!$F$8:$F$42,SMALL(IF("Página Web"='03.Muestra'!$D$8:$D$42,ROW('03.Muestra'!$F$8:$F$42)-MIN(ROW('03.Muestra'!$D$8:$D$42))+1,""),ROW()-94)),"")</f>
        <v>https://www.comunidad.madrid/hospital/clinicosancarlos/declaracion-accesibilidad</v>
      </c>
      <c r="D110" s="130" t="s">
        <v>35</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17" t="s">
        <v>320</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https://www.comunidad.madrid/hospital/clinicosancarlos/</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https://www.comunidad.madrid/hospital/clinicosancarlos/ciudadanos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14</v>
      </c>
      <c r="I134" s="120">
        <f ca="1">COUNTIF($D133:INDIRECT("$D" &amp;  SUM(ROW()-1,'03.Muestra'!$D$45)-1),I133)</f>
        <v>0</v>
      </c>
      <c r="J134" s="120">
        <f ca="1">COUNTIF($D133:INDIRECT("$D" &amp;  SUM(ROW()-1,'03.Muestra'!$D$45)-1),J133)</f>
        <v>2</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Consultas externas</v>
      </c>
      <c r="C135" s="114" t="str" cm="1">
        <f t="array" ref="C135">IFERROR(INDEX('03.Muestra'!$F$8:$F$42,SMALL(IF("Página Web"='03.Muestra'!$D$8:$D$42,ROW('03.Muestra'!$F$8:$F$42)-MIN(ROW('03.Muestra'!$D$8:$D$42))+1,""),ROW()-132)),"")</f>
        <v>https://www.comunidad.madrid/hospital/clinicosancarlos/ciudadanos/consultas-externas</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Donación</v>
      </c>
      <c r="C136" s="114" t="str" cm="1">
        <f t="array" ref="C136">IFERROR(INDEX('03.Muestra'!$F$8:$F$42,SMALL(IF("Página Web"='03.Muestra'!$D$8:$D$42,ROW('03.Muestra'!$F$8:$F$42)-MIN(ROW('03.Muestra'!$D$8:$D$42))+1,""),ROW()-132)),"")</f>
        <v>https://www.comunidad.madrid/hospital/clinicosancarlos/ciudadanos/donacion-0</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https://www.comunidad.madrid/hospital/clinicosancarlos/profesionales</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Docencia</v>
      </c>
      <c r="C138" s="114" t="str" cm="1">
        <f t="array" ref="C138">IFERROR(INDEX('03.Muestra'!$F$8:$F$42,SMALL(IF("Página Web"='03.Muestra'!$D$8:$D$42,ROW('03.Muestra'!$F$8:$F$42)-MIN(ROW('03.Muestra'!$D$8:$D$42))+1,""),ROW()-132)),"")</f>
        <v>https://www.comunidad.madrid/hospital/clinicosancarlos/profesionales/docencia</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Referencia</v>
      </c>
      <c r="C139" s="114" t="str" cm="1">
        <f t="array" ref="C139">IFERROR(INDEX('03.Muestra'!$F$8:$F$42,SMALL(IF("Página Web"='03.Muestra'!$D$8:$D$42,ROW('03.Muestra'!$F$8:$F$42)-MIN(ROW('03.Muestra'!$D$8:$D$42))+1,""),ROW()-132)),"")</f>
        <v>https://www.comunidad.madrid/hospital/clinicosancarlos/profesionales/unidades-referencia-nacional-redes-europeas</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Comunicación</v>
      </c>
      <c r="C140" s="114" t="str" cm="1">
        <f t="array" ref="C140">IFERROR(INDEX('03.Muestra'!$F$8:$F$42,SMALL(IF("Página Web"='03.Muestra'!$D$8:$D$42,ROW('03.Muestra'!$F$8:$F$42)-MIN(ROW('03.Muestra'!$D$8:$D$42))+1,""),ROW()-132)),"")</f>
        <v>https://www.comunidad.madrid/hospital/clinicosancarlos/comunicacion</v>
      </c>
      <c r="D140" s="130" t="s">
        <v>26</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Videoteca</v>
      </c>
      <c r="C141" s="114" t="str" cm="1">
        <f t="array" ref="C141">IFERROR(INDEX('03.Muestra'!$F$8:$F$42,SMALL(IF("Página Web"='03.Muestra'!$D$8:$D$42,ROW('03.Muestra'!$F$8:$F$42)-MIN(ROW('03.Muestra'!$D$8:$D$42))+1,""),ROW()-132)),"")</f>
        <v>https://www.comunidad.madrid/hospital/clinicosancarlos/comunicacion/videoteca</v>
      </c>
      <c r="D141" s="130" t="s">
        <v>26</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Noticias</v>
      </c>
      <c r="C142" s="114" t="str" cm="1">
        <f t="array" ref="C142">IFERROR(INDEX('03.Muestra'!$F$8:$F$42,SMALL(IF("Página Web"='03.Muestra'!$D$8:$D$42,ROW('03.Muestra'!$F$8:$F$42)-MIN(ROW('03.Muestra'!$D$8:$D$42))+1,""),ROW()-132)),"")</f>
        <v>https://www.comunidad.madrid/hospital/clinicosancarlos/comunicacion/noticias</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Nosotros</v>
      </c>
      <c r="C143" s="114" t="str" cm="1">
        <f t="array" ref="C143">IFERROR(INDEX('03.Muestra'!$F$8:$F$42,SMALL(IF("Página Web"='03.Muestra'!$D$8:$D$42,ROW('03.Muestra'!$F$8:$F$42)-MIN(ROW('03.Muestra'!$D$8:$D$42))+1,""),ROW()-132)),"")</f>
        <v>https://www.comunidad.madrid/hospital/clinicosancarlos/nosotros</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Gestión Ambiental</v>
      </c>
      <c r="C144" s="114" t="str" cm="1">
        <f t="array" ref="C144">IFERROR(INDEX('03.Muestra'!$F$8:$F$42,SMALL(IF("Página Web"='03.Muestra'!$D$8:$D$42,ROW('03.Muestra'!$F$8:$F$42)-MIN(ROW('03.Muestra'!$D$8:$D$42))+1,""),ROW()-132)),"")</f>
        <v>https://www.comunidad.madrid/hospital/clinicosancarlos/nosotros/gestion-ambiental</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Proveedores</v>
      </c>
      <c r="C145" s="114" t="str" cm="1">
        <f t="array" ref="C145">IFERROR(INDEX('03.Muestra'!$F$8:$F$42,SMALL(IF("Página Web"='03.Muestra'!$D$8:$D$42,ROW('03.Muestra'!$F$8:$F$42)-MIN(ROW('03.Muestra'!$D$8:$D$42))+1,""),ROW()-132)),"")</f>
        <v>https://www.comunidad.madrid/hospital/clinicosancarlos/nosotros/proveedores-0</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Aviso legal</v>
      </c>
      <c r="C146" s="114" t="str" cm="1">
        <f t="array" ref="C146">IFERROR(INDEX('03.Muestra'!$F$8:$F$42,SMALL(IF("Página Web"='03.Muestra'!$D$8:$D$42,ROW('03.Muestra'!$F$8:$F$42)-MIN(ROW('03.Muestra'!$D$8:$D$42))+1,""),ROW()-132)),"")</f>
        <v>https://www.comunidad.madrid/hospital/clinicosancarlos/aviso-legal-privacidad</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Mapa web</v>
      </c>
      <c r="C147" s="114" t="str" cm="1">
        <f t="array" ref="C147">IFERROR(INDEX('03.Muestra'!$F$8:$F$42,SMALL(IF("Página Web"='03.Muestra'!$D$8:$D$42,ROW('03.Muestra'!$F$8:$F$42)-MIN(ROW('03.Muestra'!$D$8:$D$42))+1,""),ROW()-132)),"")</f>
        <v>https://www.comunidad.madrid/hospital/clinicosancarlos/sitemap</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Accesibilidad</v>
      </c>
      <c r="C148" s="114" t="str" cm="1">
        <f t="array" ref="C148">IFERROR(INDEX('03.Muestra'!$F$8:$F$42,SMALL(IF("Página Web"='03.Muestra'!$D$8:$D$42,ROW('03.Muestra'!$F$8:$F$42)-MIN(ROW('03.Muestra'!$D$8:$D$42))+1,""),ROW()-132)),"")</f>
        <v>https://www.comunidad.madrid/hospital/clinicosancarlos/declaracion-accesibilidad</v>
      </c>
      <c r="D148" s="130" t="s">
        <v>35</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17" t="s">
        <v>321</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https://www.comunidad.madrid/hospital/clinicosancarlos/</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https://www.comunidad.madrid/hospital/clinicosancarlos/ciudadanos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Consultas externas</v>
      </c>
      <c r="C173" s="114" t="str" cm="1">
        <f t="array" ref="C173">IFERROR(INDEX('03.Muestra'!$F$8:$F$42,SMALL(IF("Página Web"='03.Muestra'!$D$8:$D$42,ROW('03.Muestra'!$F$8:$F$42)-MIN(ROW('03.Muestra'!$D$8:$D$42))+1,""),ROW()-170)),"")</f>
        <v>https://www.comunidad.madrid/hospital/clinicosancarlos/ciudadanos/consultas-externas</v>
      </c>
      <c r="D173" s="130" t="s">
        <v>35</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Donación</v>
      </c>
      <c r="C174" s="114" t="str" cm="1">
        <f t="array" ref="C174">IFERROR(INDEX('03.Muestra'!$F$8:$F$42,SMALL(IF("Página Web"='03.Muestra'!$D$8:$D$42,ROW('03.Muestra'!$F$8:$F$42)-MIN(ROW('03.Muestra'!$D$8:$D$42))+1,""),ROW()-170)),"")</f>
        <v>https://www.comunidad.madrid/hospital/clinicosancarlos/ciudadanos/donacion-0</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https://www.comunidad.madrid/hospital/clinicosancarlos/profesionales</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Docencia</v>
      </c>
      <c r="C176" s="114" t="str" cm="1">
        <f t="array" ref="C176">IFERROR(INDEX('03.Muestra'!$F$8:$F$42,SMALL(IF("Página Web"='03.Muestra'!$D$8:$D$42,ROW('03.Muestra'!$F$8:$F$42)-MIN(ROW('03.Muestra'!$D$8:$D$42))+1,""),ROW()-170)),"")</f>
        <v>https://www.comunidad.madrid/hospital/clinicosancarlos/profesionales/docencia</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Referencia</v>
      </c>
      <c r="C177" s="114" t="str" cm="1">
        <f t="array" ref="C177">IFERROR(INDEX('03.Muestra'!$F$8:$F$42,SMALL(IF("Página Web"='03.Muestra'!$D$8:$D$42,ROW('03.Muestra'!$F$8:$F$42)-MIN(ROW('03.Muestra'!$D$8:$D$42))+1,""),ROW()-170)),"")</f>
        <v>https://www.comunidad.madrid/hospital/clinicosancarlos/profesionales/unidades-referencia-nacional-redes-europeas</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Comunicación</v>
      </c>
      <c r="C178" s="114" t="str" cm="1">
        <f t="array" ref="C178">IFERROR(INDEX('03.Muestra'!$F$8:$F$42,SMALL(IF("Página Web"='03.Muestra'!$D$8:$D$42,ROW('03.Muestra'!$F$8:$F$42)-MIN(ROW('03.Muestra'!$D$8:$D$42))+1,""),ROW()-170)),"")</f>
        <v>https://www.comunidad.madrid/hospital/clinicosancarlos/comunicacion</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Videoteca</v>
      </c>
      <c r="C179" s="114" t="str" cm="1">
        <f t="array" ref="C179">IFERROR(INDEX('03.Muestra'!$F$8:$F$42,SMALL(IF("Página Web"='03.Muestra'!$D$8:$D$42,ROW('03.Muestra'!$F$8:$F$42)-MIN(ROW('03.Muestra'!$D$8:$D$42))+1,""),ROW()-170)),"")</f>
        <v>https://www.comunidad.madrid/hospital/clinicosancarlos/comunicacion/videoteca</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Noticias</v>
      </c>
      <c r="C180" s="114" t="str" cm="1">
        <f t="array" ref="C180">IFERROR(INDEX('03.Muestra'!$F$8:$F$42,SMALL(IF("Página Web"='03.Muestra'!$D$8:$D$42,ROW('03.Muestra'!$F$8:$F$42)-MIN(ROW('03.Muestra'!$D$8:$D$42))+1,""),ROW()-170)),"")</f>
        <v>https://www.comunidad.madrid/hospital/clinicosancarlos/comunicacion/noticias</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Nosotros</v>
      </c>
      <c r="C181" s="114" t="str" cm="1">
        <f t="array" ref="C181">IFERROR(INDEX('03.Muestra'!$F$8:$F$42,SMALL(IF("Página Web"='03.Muestra'!$D$8:$D$42,ROW('03.Muestra'!$F$8:$F$42)-MIN(ROW('03.Muestra'!$D$8:$D$42))+1,""),ROW()-170)),"")</f>
        <v>https://www.comunidad.madrid/hospital/clinicosancarlos/nosotros</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Gestión Ambiental</v>
      </c>
      <c r="C182" s="114" t="str" cm="1">
        <f t="array" ref="C182">IFERROR(INDEX('03.Muestra'!$F$8:$F$42,SMALL(IF("Página Web"='03.Muestra'!$D$8:$D$42,ROW('03.Muestra'!$F$8:$F$42)-MIN(ROW('03.Muestra'!$D$8:$D$42))+1,""),ROW()-170)),"")</f>
        <v>https://www.comunidad.madrid/hospital/clinicosancarlos/nosotros/gestion-ambiental</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Proveedores</v>
      </c>
      <c r="C183" s="114" t="str" cm="1">
        <f t="array" ref="C183">IFERROR(INDEX('03.Muestra'!$F$8:$F$42,SMALL(IF("Página Web"='03.Muestra'!$D$8:$D$42,ROW('03.Muestra'!$F$8:$F$42)-MIN(ROW('03.Muestra'!$D$8:$D$42))+1,""),ROW()-170)),"")</f>
        <v>https://www.comunidad.madrid/hospital/clinicosancarlos/nosotros/proveedores-0</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Aviso legal</v>
      </c>
      <c r="C184" s="114" t="str" cm="1">
        <f t="array" ref="C184">IFERROR(INDEX('03.Muestra'!$F$8:$F$42,SMALL(IF("Página Web"='03.Muestra'!$D$8:$D$42,ROW('03.Muestra'!$F$8:$F$42)-MIN(ROW('03.Muestra'!$D$8:$D$42))+1,""),ROW()-170)),"")</f>
        <v>https://www.comunidad.madrid/hospital/clinicosancarlos/aviso-legal-privacidad</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Mapa web</v>
      </c>
      <c r="C185" s="114" t="str" cm="1">
        <f t="array" ref="C185">IFERROR(INDEX('03.Muestra'!$F$8:$F$42,SMALL(IF("Página Web"='03.Muestra'!$D$8:$D$42,ROW('03.Muestra'!$F$8:$F$42)-MIN(ROW('03.Muestra'!$D$8:$D$42))+1,""),ROW()-170)),"")</f>
        <v>https://www.comunidad.madrid/hospital/clinicosancarlos/sitemap</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Accesibilidad</v>
      </c>
      <c r="C186" s="114" t="str" cm="1">
        <f t="array" ref="C186">IFERROR(INDEX('03.Muestra'!$F$8:$F$42,SMALL(IF("Página Web"='03.Muestra'!$D$8:$D$42,ROW('03.Muestra'!$F$8:$F$42)-MIN(ROW('03.Muestra'!$D$8:$D$42))+1,""),ROW()-170)),"")</f>
        <v>https://www.comunidad.madrid/hospital/clinicosancarlos/declaracion-accesibilidad</v>
      </c>
      <c r="D186" s="130" t="s">
        <v>35</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258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https://www.comunidad.madrid/hospital/clinicosancarlos/</v>
      </c>
      <c r="D209" s="130" t="s">
        <v>35</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https://www.comunidad.madrid/hospital/clinicosancarlos/ciudadanos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Consultas externas</v>
      </c>
      <c r="C211" s="114" t="str" cm="1">
        <f t="array" ref="C211">IFERROR(INDEX('03.Muestra'!$F$8:$F$42,SMALL(IF("Página Web"='03.Muestra'!$D$8:$D$42,ROW('03.Muestra'!$F$8:$F$42)-MIN(ROW('03.Muestra'!$D$8:$D$42))+1,""),ROW()-208)),"")</f>
        <v>https://www.comunidad.madrid/hospital/clinicosancarlos/ciudadanos/consultas-externas</v>
      </c>
      <c r="D211" s="130" t="s">
        <v>35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Donación</v>
      </c>
      <c r="C212" s="114" t="str" cm="1">
        <f t="array" ref="C212">IFERROR(INDEX('03.Muestra'!$F$8:$F$42,SMALL(IF("Página Web"='03.Muestra'!$D$8:$D$42,ROW('03.Muestra'!$F$8:$F$42)-MIN(ROW('03.Muestra'!$D$8:$D$42))+1,""),ROW()-208)),"")</f>
        <v>https://www.comunidad.madrid/hospital/clinicosancarlos/ciudadanos/donacion-0</v>
      </c>
      <c r="D212" s="130" t="s">
        <v>35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Profesionales</v>
      </c>
      <c r="C213" s="114" t="str" cm="1">
        <f t="array" ref="C213">IFERROR(INDEX('03.Muestra'!$F$8:$F$42,SMALL(IF("Página Web"='03.Muestra'!$D$8:$D$42,ROW('03.Muestra'!$F$8:$F$42)-MIN(ROW('03.Muestra'!$D$8:$D$42))+1,""),ROW()-208)),"")</f>
        <v>https://www.comunidad.madrid/hospital/clinicosancarlos/profesionales</v>
      </c>
      <c r="D213" s="130" t="s">
        <v>35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Docencia</v>
      </c>
      <c r="C214" s="114" t="str" cm="1">
        <f t="array" ref="C214">IFERROR(INDEX('03.Muestra'!$F$8:$F$42,SMALL(IF("Página Web"='03.Muestra'!$D$8:$D$42,ROW('03.Muestra'!$F$8:$F$42)-MIN(ROW('03.Muestra'!$D$8:$D$42))+1,""),ROW()-208)),"")</f>
        <v>https://www.comunidad.madrid/hospital/clinicosancarlos/profesionales/docencia</v>
      </c>
      <c r="D214" s="130" t="s">
        <v>35</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Referencia</v>
      </c>
      <c r="C215" s="114" t="str" cm="1">
        <f t="array" ref="C215">IFERROR(INDEX('03.Muestra'!$F$8:$F$42,SMALL(IF("Página Web"='03.Muestra'!$D$8:$D$42,ROW('03.Muestra'!$F$8:$F$42)-MIN(ROW('03.Muestra'!$D$8:$D$42))+1,""),ROW()-208)),"")</f>
        <v>https://www.comunidad.madrid/hospital/clinicosancarlos/profesionales/unidades-referencia-nacional-redes-europeas</v>
      </c>
      <c r="D215" s="130" t="s">
        <v>35</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Comunicación</v>
      </c>
      <c r="C216" s="114" t="str" cm="1">
        <f t="array" ref="C216">IFERROR(INDEX('03.Muestra'!$F$8:$F$42,SMALL(IF("Página Web"='03.Muestra'!$D$8:$D$42,ROW('03.Muestra'!$F$8:$F$42)-MIN(ROW('03.Muestra'!$D$8:$D$42))+1,""),ROW()-208)),"")</f>
        <v>https://www.comunidad.madrid/hospital/clinicosancarlos/comunicacion</v>
      </c>
      <c r="D216" s="130" t="s">
        <v>35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Videoteca</v>
      </c>
      <c r="C217" s="114" t="str" cm="1">
        <f t="array" ref="C217">IFERROR(INDEX('03.Muestra'!$F$8:$F$42,SMALL(IF("Página Web"='03.Muestra'!$D$8:$D$42,ROW('03.Muestra'!$F$8:$F$42)-MIN(ROW('03.Muestra'!$D$8:$D$42))+1,""),ROW()-208)),"")</f>
        <v>https://www.comunidad.madrid/hospital/clinicosancarlos/comunicacion/videoteca</v>
      </c>
      <c r="D217" s="130" t="s">
        <v>35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Noticias</v>
      </c>
      <c r="C218" s="114" t="str" cm="1">
        <f t="array" ref="C218">IFERROR(INDEX('03.Muestra'!$F$8:$F$42,SMALL(IF("Página Web"='03.Muestra'!$D$8:$D$42,ROW('03.Muestra'!$F$8:$F$42)-MIN(ROW('03.Muestra'!$D$8:$D$42))+1,""),ROW()-208)),"")</f>
        <v>https://www.comunidad.madrid/hospital/clinicosancarlos/comunicacion/noticias</v>
      </c>
      <c r="D218" s="130" t="s">
        <v>35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Nosotros</v>
      </c>
      <c r="C219" s="114" t="str" cm="1">
        <f t="array" ref="C219">IFERROR(INDEX('03.Muestra'!$F$8:$F$42,SMALL(IF("Página Web"='03.Muestra'!$D$8:$D$42,ROW('03.Muestra'!$F$8:$F$42)-MIN(ROW('03.Muestra'!$D$8:$D$42))+1,""),ROW()-208)),"")</f>
        <v>https://www.comunidad.madrid/hospital/clinicosancarlos/nosotros</v>
      </c>
      <c r="D219" s="130" t="s">
        <v>35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Gestión Ambiental</v>
      </c>
      <c r="C220" s="114" t="str" cm="1">
        <f t="array" ref="C220">IFERROR(INDEX('03.Muestra'!$F$8:$F$42,SMALL(IF("Página Web"='03.Muestra'!$D$8:$D$42,ROW('03.Muestra'!$F$8:$F$42)-MIN(ROW('03.Muestra'!$D$8:$D$42))+1,""),ROW()-208)),"")</f>
        <v>https://www.comunidad.madrid/hospital/clinicosancarlos/nosotros/gestion-ambiental</v>
      </c>
      <c r="D220" s="130" t="s">
        <v>35</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Proveedores</v>
      </c>
      <c r="C221" s="114" t="str" cm="1">
        <f t="array" ref="C221">IFERROR(INDEX('03.Muestra'!$F$8:$F$42,SMALL(IF("Página Web"='03.Muestra'!$D$8:$D$42,ROW('03.Muestra'!$F$8:$F$42)-MIN(ROW('03.Muestra'!$D$8:$D$42))+1,""),ROW()-208)),"")</f>
        <v>https://www.comunidad.madrid/hospital/clinicosancarlos/nosotros/proveedores-0</v>
      </c>
      <c r="D221" s="130" t="s">
        <v>35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Aviso legal</v>
      </c>
      <c r="C222" s="114" t="str" cm="1">
        <f t="array" ref="C222">IFERROR(INDEX('03.Muestra'!$F$8:$F$42,SMALL(IF("Página Web"='03.Muestra'!$D$8:$D$42,ROW('03.Muestra'!$F$8:$F$42)-MIN(ROW('03.Muestra'!$D$8:$D$42))+1,""),ROW()-208)),"")</f>
        <v>https://www.comunidad.madrid/hospital/clinicosancarlos/aviso-legal-privacidad</v>
      </c>
      <c r="D222" s="130" t="s">
        <v>35</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Mapa web</v>
      </c>
      <c r="C223" s="114" t="str" cm="1">
        <f t="array" ref="C223">IFERROR(INDEX('03.Muestra'!$F$8:$F$42,SMALL(IF("Página Web"='03.Muestra'!$D$8:$D$42,ROW('03.Muestra'!$F$8:$F$42)-MIN(ROW('03.Muestra'!$D$8:$D$42))+1,""),ROW()-208)),"")</f>
        <v>https://www.comunidad.madrid/hospital/clinicosancarlos/sitemap</v>
      </c>
      <c r="D223" s="130" t="s">
        <v>35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Accesibilidad</v>
      </c>
      <c r="C224" s="114" t="str" cm="1">
        <f t="array" ref="C224">IFERROR(INDEX('03.Muestra'!$F$8:$F$42,SMALL(IF("Página Web"='03.Muestra'!$D$8:$D$42,ROW('03.Muestra'!$F$8:$F$42)-MIN(ROW('03.Muestra'!$D$8:$D$42))+1,""),ROW()-208)),"")</f>
        <v>https://www.comunidad.madrid/hospital/clinicosancarlos/declaracion-accesibilidad</v>
      </c>
      <c r="D224" s="130" t="s">
        <v>35</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259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https://www.comunidad.madrid/hospital/clinicosancarlos/</v>
      </c>
      <c r="D247" s="130" t="s">
        <v>35</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https://www.comunidad.madrid/hospital/clinicosancarlos/ciudadanos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16</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Consultas externas</v>
      </c>
      <c r="C249" s="114" t="str" cm="1">
        <f t="array" ref="C249">IFERROR(INDEX('03.Muestra'!$F$8:$F$42,SMALL(IF("Página Web"='03.Muestra'!$D$8:$D$42,ROW('03.Muestra'!$F$8:$F$42)-MIN(ROW('03.Muestra'!$D$8:$D$42))+1,""),ROW()-246)),"")</f>
        <v>https://www.comunidad.madrid/hospital/clinicosancarlos/ciudadanos/consultas-externas</v>
      </c>
      <c r="D249" s="130" t="s">
        <v>35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Donación</v>
      </c>
      <c r="C250" s="114" t="str" cm="1">
        <f t="array" ref="C250">IFERROR(INDEX('03.Muestra'!$F$8:$F$42,SMALL(IF("Página Web"='03.Muestra'!$D$8:$D$42,ROW('03.Muestra'!$F$8:$F$42)-MIN(ROW('03.Muestra'!$D$8:$D$42))+1,""),ROW()-246)),"")</f>
        <v>https://www.comunidad.madrid/hospital/clinicosancarlos/ciudadanos/donacion-0</v>
      </c>
      <c r="D250" s="130" t="s">
        <v>35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Profesionales</v>
      </c>
      <c r="C251" s="114" t="str" cm="1">
        <f t="array" ref="C251">IFERROR(INDEX('03.Muestra'!$F$8:$F$42,SMALL(IF("Página Web"='03.Muestra'!$D$8:$D$42,ROW('03.Muestra'!$F$8:$F$42)-MIN(ROW('03.Muestra'!$D$8:$D$42))+1,""),ROW()-246)),"")</f>
        <v>https://www.comunidad.madrid/hospital/clinicosancarlos/profesionales</v>
      </c>
      <c r="D251" s="130" t="s">
        <v>35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Docencia</v>
      </c>
      <c r="C252" s="114" t="str" cm="1">
        <f t="array" ref="C252">IFERROR(INDEX('03.Muestra'!$F$8:$F$42,SMALL(IF("Página Web"='03.Muestra'!$D$8:$D$42,ROW('03.Muestra'!$F$8:$F$42)-MIN(ROW('03.Muestra'!$D$8:$D$42))+1,""),ROW()-246)),"")</f>
        <v>https://www.comunidad.madrid/hospital/clinicosancarlos/profesionales/docencia</v>
      </c>
      <c r="D252" s="130" t="s">
        <v>35</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Referencia</v>
      </c>
      <c r="C253" s="114" t="str" cm="1">
        <f t="array" ref="C253">IFERROR(INDEX('03.Muestra'!$F$8:$F$42,SMALL(IF("Página Web"='03.Muestra'!$D$8:$D$42,ROW('03.Muestra'!$F$8:$F$42)-MIN(ROW('03.Muestra'!$D$8:$D$42))+1,""),ROW()-246)),"")</f>
        <v>https://www.comunidad.madrid/hospital/clinicosancarlos/profesionales/unidades-referencia-nacional-redes-europeas</v>
      </c>
      <c r="D253" s="130" t="s">
        <v>35</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Comunicación</v>
      </c>
      <c r="C254" s="114" t="str" cm="1">
        <f t="array" ref="C254">IFERROR(INDEX('03.Muestra'!$F$8:$F$42,SMALL(IF("Página Web"='03.Muestra'!$D$8:$D$42,ROW('03.Muestra'!$F$8:$F$42)-MIN(ROW('03.Muestra'!$D$8:$D$42))+1,""),ROW()-246)),"")</f>
        <v>https://www.comunidad.madrid/hospital/clinicosancarlos/comunicacion</v>
      </c>
      <c r="D254" s="130" t="s">
        <v>35</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Videoteca</v>
      </c>
      <c r="C255" s="114" t="str" cm="1">
        <f t="array" ref="C255">IFERROR(INDEX('03.Muestra'!$F$8:$F$42,SMALL(IF("Página Web"='03.Muestra'!$D$8:$D$42,ROW('03.Muestra'!$F$8:$F$42)-MIN(ROW('03.Muestra'!$D$8:$D$42))+1,""),ROW()-246)),"")</f>
        <v>https://www.comunidad.madrid/hospital/clinicosancarlos/comunicacion/videoteca</v>
      </c>
      <c r="D255" s="130" t="s">
        <v>35</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Noticias</v>
      </c>
      <c r="C256" s="114" t="str" cm="1">
        <f t="array" ref="C256">IFERROR(INDEX('03.Muestra'!$F$8:$F$42,SMALL(IF("Página Web"='03.Muestra'!$D$8:$D$42,ROW('03.Muestra'!$F$8:$F$42)-MIN(ROW('03.Muestra'!$D$8:$D$42))+1,""),ROW()-246)),"")</f>
        <v>https://www.comunidad.madrid/hospital/clinicosancarlos/comunicacion/noticias</v>
      </c>
      <c r="D256" s="130" t="s">
        <v>35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Nosotros</v>
      </c>
      <c r="C257" s="114" t="str" cm="1">
        <f t="array" ref="C257">IFERROR(INDEX('03.Muestra'!$F$8:$F$42,SMALL(IF("Página Web"='03.Muestra'!$D$8:$D$42,ROW('03.Muestra'!$F$8:$F$42)-MIN(ROW('03.Muestra'!$D$8:$D$42))+1,""),ROW()-246)),"")</f>
        <v>https://www.comunidad.madrid/hospital/clinicosancarlos/nosotros</v>
      </c>
      <c r="D257" s="130" t="s">
        <v>35</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Gestión Ambiental</v>
      </c>
      <c r="C258" s="114" t="str" cm="1">
        <f t="array" ref="C258">IFERROR(INDEX('03.Muestra'!$F$8:$F$42,SMALL(IF("Página Web"='03.Muestra'!$D$8:$D$42,ROW('03.Muestra'!$F$8:$F$42)-MIN(ROW('03.Muestra'!$D$8:$D$42))+1,""),ROW()-246)),"")</f>
        <v>https://www.comunidad.madrid/hospital/clinicosancarlos/nosotros/gestion-ambiental</v>
      </c>
      <c r="D258" s="130" t="s">
        <v>35</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Proveedores</v>
      </c>
      <c r="C259" s="114" t="str" cm="1">
        <f t="array" ref="C259">IFERROR(INDEX('03.Muestra'!$F$8:$F$42,SMALL(IF("Página Web"='03.Muestra'!$D$8:$D$42,ROW('03.Muestra'!$F$8:$F$42)-MIN(ROW('03.Muestra'!$D$8:$D$42))+1,""),ROW()-246)),"")</f>
        <v>https://www.comunidad.madrid/hospital/clinicosancarlos/nosotros/proveedores-0</v>
      </c>
      <c r="D259" s="130" t="s">
        <v>35</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Aviso legal</v>
      </c>
      <c r="C260" s="114" t="str" cm="1">
        <f t="array" ref="C260">IFERROR(INDEX('03.Muestra'!$F$8:$F$42,SMALL(IF("Página Web"='03.Muestra'!$D$8:$D$42,ROW('03.Muestra'!$F$8:$F$42)-MIN(ROW('03.Muestra'!$D$8:$D$42))+1,""),ROW()-246)),"")</f>
        <v>https://www.comunidad.madrid/hospital/clinicosancarlos/aviso-legal-privacidad</v>
      </c>
      <c r="D260" s="130" t="s">
        <v>35</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Mapa web</v>
      </c>
      <c r="C261" s="114" t="str" cm="1">
        <f t="array" ref="C261">IFERROR(INDEX('03.Muestra'!$F$8:$F$42,SMALL(IF("Página Web"='03.Muestra'!$D$8:$D$42,ROW('03.Muestra'!$F$8:$F$42)-MIN(ROW('03.Muestra'!$D$8:$D$42))+1,""),ROW()-246)),"")</f>
        <v>https://www.comunidad.madrid/hospital/clinicosancarlos/sitemap</v>
      </c>
      <c r="D261" s="130" t="s">
        <v>35</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Accesibilidad</v>
      </c>
      <c r="C262" s="114" t="str" cm="1">
        <f t="array" ref="C262">IFERROR(INDEX('03.Muestra'!$F$8:$F$42,SMALL(IF("Página Web"='03.Muestra'!$D$8:$D$42,ROW('03.Muestra'!$F$8:$F$42)-MIN(ROW('03.Muestra'!$D$8:$D$42))+1,""),ROW()-246)),"")</f>
        <v>https://www.comunidad.madrid/hospital/clinicosancarlos/declaracion-accesibilidad</v>
      </c>
      <c r="D262" s="130" t="s">
        <v>35</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260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https://www.comunidad.madrid/hospital/clinicosancarlos/</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https://www.comunidad.madrid/hospital/clinicosancarlos/ciudadanos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Consultas externas</v>
      </c>
      <c r="C287" s="114" t="str" cm="1">
        <f t="array" ref="C287">IFERROR(INDEX('03.Muestra'!$F$8:$F$42,SMALL(IF("Página Web"='03.Muestra'!$D$8:$D$42,ROW('03.Muestra'!$F$8:$F$42)-MIN(ROW('03.Muestra'!$D$8:$D$42))+1,""),ROW()-284)),"")</f>
        <v>https://www.comunidad.madrid/hospital/clinicosancarlos/ciudadanos/consultas-externas</v>
      </c>
      <c r="D287" s="130" t="s">
        <v>35</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Donación</v>
      </c>
      <c r="C288" s="114" t="str" cm="1">
        <f t="array" ref="C288">IFERROR(INDEX('03.Muestra'!$F$8:$F$42,SMALL(IF("Página Web"='03.Muestra'!$D$8:$D$42,ROW('03.Muestra'!$F$8:$F$42)-MIN(ROW('03.Muestra'!$D$8:$D$42))+1,""),ROW()-284)),"")</f>
        <v>https://www.comunidad.madrid/hospital/clinicosancarlos/ciudadanos/donacion-0</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Profesionales</v>
      </c>
      <c r="C289" s="114" t="str" cm="1">
        <f t="array" ref="C289">IFERROR(INDEX('03.Muestra'!$F$8:$F$42,SMALL(IF("Página Web"='03.Muestra'!$D$8:$D$42,ROW('03.Muestra'!$F$8:$F$42)-MIN(ROW('03.Muestra'!$D$8:$D$42))+1,""),ROW()-284)),"")</f>
        <v>https://www.comunidad.madrid/hospital/clinicosancarlos/profesionales</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Docencia</v>
      </c>
      <c r="C290" s="114" t="str" cm="1">
        <f t="array" ref="C290">IFERROR(INDEX('03.Muestra'!$F$8:$F$42,SMALL(IF("Página Web"='03.Muestra'!$D$8:$D$42,ROW('03.Muestra'!$F$8:$F$42)-MIN(ROW('03.Muestra'!$D$8:$D$42))+1,""),ROW()-284)),"")</f>
        <v>https://www.comunidad.madrid/hospital/clinicosancarlos/profesionales/docencia</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Referencia</v>
      </c>
      <c r="C291" s="114" t="str" cm="1">
        <f t="array" ref="C291">IFERROR(INDEX('03.Muestra'!$F$8:$F$42,SMALL(IF("Página Web"='03.Muestra'!$D$8:$D$42,ROW('03.Muestra'!$F$8:$F$42)-MIN(ROW('03.Muestra'!$D$8:$D$42))+1,""),ROW()-284)),"")</f>
        <v>https://www.comunidad.madrid/hospital/clinicosancarlos/profesionales/unidades-referencia-nacional-redes-europeas</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Comunicación</v>
      </c>
      <c r="C292" s="114" t="str" cm="1">
        <f t="array" ref="C292">IFERROR(INDEX('03.Muestra'!$F$8:$F$42,SMALL(IF("Página Web"='03.Muestra'!$D$8:$D$42,ROW('03.Muestra'!$F$8:$F$42)-MIN(ROW('03.Muestra'!$D$8:$D$42))+1,""),ROW()-284)),"")</f>
        <v>https://www.comunidad.madrid/hospital/clinicosancarlos/comunicacion</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Videoteca</v>
      </c>
      <c r="C293" s="114" t="str" cm="1">
        <f t="array" ref="C293">IFERROR(INDEX('03.Muestra'!$F$8:$F$42,SMALL(IF("Página Web"='03.Muestra'!$D$8:$D$42,ROW('03.Muestra'!$F$8:$F$42)-MIN(ROW('03.Muestra'!$D$8:$D$42))+1,""),ROW()-284)),"")</f>
        <v>https://www.comunidad.madrid/hospital/clinicosancarlos/comunicacion/videoteca</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Noticias</v>
      </c>
      <c r="C294" s="114" t="str" cm="1">
        <f t="array" ref="C294">IFERROR(INDEX('03.Muestra'!$F$8:$F$42,SMALL(IF("Página Web"='03.Muestra'!$D$8:$D$42,ROW('03.Muestra'!$F$8:$F$42)-MIN(ROW('03.Muestra'!$D$8:$D$42))+1,""),ROW()-284)),"")</f>
        <v>https://www.comunidad.madrid/hospital/clinicosancarlos/comunicacion/noticias</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Nosotros</v>
      </c>
      <c r="C295" s="114" t="str" cm="1">
        <f t="array" ref="C295">IFERROR(INDEX('03.Muestra'!$F$8:$F$42,SMALL(IF("Página Web"='03.Muestra'!$D$8:$D$42,ROW('03.Muestra'!$F$8:$F$42)-MIN(ROW('03.Muestra'!$D$8:$D$42))+1,""),ROW()-284)),"")</f>
        <v>https://www.comunidad.madrid/hospital/clinicosancarlos/nosotros</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Gestión Ambiental</v>
      </c>
      <c r="C296" s="114" t="str" cm="1">
        <f t="array" ref="C296">IFERROR(INDEX('03.Muestra'!$F$8:$F$42,SMALL(IF("Página Web"='03.Muestra'!$D$8:$D$42,ROW('03.Muestra'!$F$8:$F$42)-MIN(ROW('03.Muestra'!$D$8:$D$42))+1,""),ROW()-284)),"")</f>
        <v>https://www.comunidad.madrid/hospital/clinicosancarlos/nosotros/gestion-ambiental</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Proveedores</v>
      </c>
      <c r="C297" s="114" t="str" cm="1">
        <f t="array" ref="C297">IFERROR(INDEX('03.Muestra'!$F$8:$F$42,SMALL(IF("Página Web"='03.Muestra'!$D$8:$D$42,ROW('03.Muestra'!$F$8:$F$42)-MIN(ROW('03.Muestra'!$D$8:$D$42))+1,""),ROW()-284)),"")</f>
        <v>https://www.comunidad.madrid/hospital/clinicosancarlos/nosotros/proveedores-0</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Aviso legal</v>
      </c>
      <c r="C298" s="114" t="str" cm="1">
        <f t="array" ref="C298">IFERROR(INDEX('03.Muestra'!$F$8:$F$42,SMALL(IF("Página Web"='03.Muestra'!$D$8:$D$42,ROW('03.Muestra'!$F$8:$F$42)-MIN(ROW('03.Muestra'!$D$8:$D$42))+1,""),ROW()-284)),"")</f>
        <v>https://www.comunidad.madrid/hospital/clinicosancarlos/aviso-legal-privacidad</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Mapa web</v>
      </c>
      <c r="C299" s="114" t="str" cm="1">
        <f t="array" ref="C299">IFERROR(INDEX('03.Muestra'!$F$8:$F$42,SMALL(IF("Página Web"='03.Muestra'!$D$8:$D$42,ROW('03.Muestra'!$F$8:$F$42)-MIN(ROW('03.Muestra'!$D$8:$D$42))+1,""),ROW()-284)),"")</f>
        <v>https://www.comunidad.madrid/hospital/clinicosancarlos/sitemap</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Accesibilidad</v>
      </c>
      <c r="C300" s="114" t="str" cm="1">
        <f t="array" ref="C300">IFERROR(INDEX('03.Muestra'!$F$8:$F$42,SMALL(IF("Página Web"='03.Muestra'!$D$8:$D$42,ROW('03.Muestra'!$F$8:$F$42)-MIN(ROW('03.Muestra'!$D$8:$D$42))+1,""),ROW()-284)),"")</f>
        <v>https://www.comunidad.madrid/hospital/clinicosancarlos/declaracion-accesibilidad</v>
      </c>
      <c r="D300" s="130" t="s">
        <v>35</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261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https://www.comunidad.madrid/hospital/clinicosancarlos/</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https://www.comunidad.madrid/hospital/clinicosancarlos/ciudadanos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Consultas externas</v>
      </c>
      <c r="C325" s="114" t="str" cm="1">
        <f t="array" ref="C325">IFERROR(INDEX('03.Muestra'!$F$8:$F$42,SMALL(IF("Página Web"='03.Muestra'!$D$8:$D$42,ROW('03.Muestra'!$F$8:$F$42)-MIN(ROW('03.Muestra'!$D$8:$D$42))+1,""),ROW()-322)),"")</f>
        <v>https://www.comunidad.madrid/hospital/clinicosancarlos/ciudadanos/consultas-externas</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Donación</v>
      </c>
      <c r="C326" s="114" t="str" cm="1">
        <f t="array" ref="C326">IFERROR(INDEX('03.Muestra'!$F$8:$F$42,SMALL(IF("Página Web"='03.Muestra'!$D$8:$D$42,ROW('03.Muestra'!$F$8:$F$42)-MIN(ROW('03.Muestra'!$D$8:$D$42))+1,""),ROW()-322)),"")</f>
        <v>https://www.comunidad.madrid/hospital/clinicosancarlos/ciudadanos/donacion-0</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Profesionales</v>
      </c>
      <c r="C327" s="114" t="str" cm="1">
        <f t="array" ref="C327">IFERROR(INDEX('03.Muestra'!$F$8:$F$42,SMALL(IF("Página Web"='03.Muestra'!$D$8:$D$42,ROW('03.Muestra'!$F$8:$F$42)-MIN(ROW('03.Muestra'!$D$8:$D$42))+1,""),ROW()-322)),"")</f>
        <v>https://www.comunidad.madrid/hospital/clinicosancarlos/profesionales</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Docencia</v>
      </c>
      <c r="C328" s="114" t="str" cm="1">
        <f t="array" ref="C328">IFERROR(INDEX('03.Muestra'!$F$8:$F$42,SMALL(IF("Página Web"='03.Muestra'!$D$8:$D$42,ROW('03.Muestra'!$F$8:$F$42)-MIN(ROW('03.Muestra'!$D$8:$D$42))+1,""),ROW()-322)),"")</f>
        <v>https://www.comunidad.madrid/hospital/clinicosancarlos/profesionales/docencia</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Referencia</v>
      </c>
      <c r="C329" s="114" t="str" cm="1">
        <f t="array" ref="C329">IFERROR(INDEX('03.Muestra'!$F$8:$F$42,SMALL(IF("Página Web"='03.Muestra'!$D$8:$D$42,ROW('03.Muestra'!$F$8:$F$42)-MIN(ROW('03.Muestra'!$D$8:$D$42))+1,""),ROW()-322)),"")</f>
        <v>https://www.comunidad.madrid/hospital/clinicosancarlos/profesionales/unidades-referencia-nacional-redes-europeas</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Comunicación</v>
      </c>
      <c r="C330" s="114" t="str" cm="1">
        <f t="array" ref="C330">IFERROR(INDEX('03.Muestra'!$F$8:$F$42,SMALL(IF("Página Web"='03.Muestra'!$D$8:$D$42,ROW('03.Muestra'!$F$8:$F$42)-MIN(ROW('03.Muestra'!$D$8:$D$42))+1,""),ROW()-322)),"")</f>
        <v>https://www.comunidad.madrid/hospital/clinicosancarlos/comunicacion</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Videoteca</v>
      </c>
      <c r="C331" s="114" t="str" cm="1">
        <f t="array" ref="C331">IFERROR(INDEX('03.Muestra'!$F$8:$F$42,SMALL(IF("Página Web"='03.Muestra'!$D$8:$D$42,ROW('03.Muestra'!$F$8:$F$42)-MIN(ROW('03.Muestra'!$D$8:$D$42))+1,""),ROW()-322)),"")</f>
        <v>https://www.comunidad.madrid/hospital/clinicosancarlos/comunicacion/videoteca</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Noticias</v>
      </c>
      <c r="C332" s="114" t="str" cm="1">
        <f t="array" ref="C332">IFERROR(INDEX('03.Muestra'!$F$8:$F$42,SMALL(IF("Página Web"='03.Muestra'!$D$8:$D$42,ROW('03.Muestra'!$F$8:$F$42)-MIN(ROW('03.Muestra'!$D$8:$D$42))+1,""),ROW()-322)),"")</f>
        <v>https://www.comunidad.madrid/hospital/clinicosancarlos/comunicacion/noticias</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Nosotros</v>
      </c>
      <c r="C333" s="114" t="str" cm="1">
        <f t="array" ref="C333">IFERROR(INDEX('03.Muestra'!$F$8:$F$42,SMALL(IF("Página Web"='03.Muestra'!$D$8:$D$42,ROW('03.Muestra'!$F$8:$F$42)-MIN(ROW('03.Muestra'!$D$8:$D$42))+1,""),ROW()-322)),"")</f>
        <v>https://www.comunidad.madrid/hospital/clinicosancarlos/nosotros</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Gestión Ambiental</v>
      </c>
      <c r="C334" s="114" t="str" cm="1">
        <f t="array" ref="C334">IFERROR(INDEX('03.Muestra'!$F$8:$F$42,SMALL(IF("Página Web"='03.Muestra'!$D$8:$D$42,ROW('03.Muestra'!$F$8:$F$42)-MIN(ROW('03.Muestra'!$D$8:$D$42))+1,""),ROW()-322)),"")</f>
        <v>https://www.comunidad.madrid/hospital/clinicosancarlos/nosotros/gestion-ambiental</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Proveedores</v>
      </c>
      <c r="C335" s="114" t="str" cm="1">
        <f t="array" ref="C335">IFERROR(INDEX('03.Muestra'!$F$8:$F$42,SMALL(IF("Página Web"='03.Muestra'!$D$8:$D$42,ROW('03.Muestra'!$F$8:$F$42)-MIN(ROW('03.Muestra'!$D$8:$D$42))+1,""),ROW()-322)),"")</f>
        <v>https://www.comunidad.madrid/hospital/clinicosancarlos/nosotros/proveedores-0</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Aviso legal</v>
      </c>
      <c r="C336" s="114" t="str" cm="1">
        <f t="array" ref="C336">IFERROR(INDEX('03.Muestra'!$F$8:$F$42,SMALL(IF("Página Web"='03.Muestra'!$D$8:$D$42,ROW('03.Muestra'!$F$8:$F$42)-MIN(ROW('03.Muestra'!$D$8:$D$42))+1,""),ROW()-322)),"")</f>
        <v>https://www.comunidad.madrid/hospital/clinicosancarlos/aviso-legal-privacidad</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Mapa web</v>
      </c>
      <c r="C337" s="114" t="str" cm="1">
        <f t="array" ref="C337">IFERROR(INDEX('03.Muestra'!$F$8:$F$42,SMALL(IF("Página Web"='03.Muestra'!$D$8:$D$42,ROW('03.Muestra'!$F$8:$F$42)-MIN(ROW('03.Muestra'!$D$8:$D$42))+1,""),ROW()-322)),"")</f>
        <v>https://www.comunidad.madrid/hospital/clinicosancarlos/sitemap</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Accesibilidad</v>
      </c>
      <c r="C338" s="114" t="str" cm="1">
        <f t="array" ref="C338">IFERROR(INDEX('03.Muestra'!$F$8:$F$42,SMALL(IF("Página Web"='03.Muestra'!$D$8:$D$42,ROW('03.Muestra'!$F$8:$F$42)-MIN(ROW('03.Muestra'!$D$8:$D$42))+1,""),ROW()-322)),"")</f>
        <v>https://www.comunidad.madrid/hospital/clinicosancarlos/declaracion-accesibilidad</v>
      </c>
      <c r="D338" s="130" t="s">
        <v>35</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E57:E91 E95:E129 E209:E243 E247:E281 E285:E319 E323:E357 E19:E53">
    <cfRule type="cellIs" dxfId="1379" priority="266" stopIfTrue="1" operator="equal">
      <formula>"ERR"</formula>
    </cfRule>
  </conditionalFormatting>
  <conditionalFormatting sqref="F19:J19 F57:J57 F95:J95 F209:J209 F247:J247 F285:J285 F323:J323 F133:J133 F171:J171">
    <cfRule type="expression" dxfId="1378" priority="260" stopIfTrue="1">
      <formula>ISBLANK(F19)</formula>
    </cfRule>
    <cfRule type="cellIs" dxfId="1377" priority="261" stopIfTrue="1" operator="equal">
      <formula>"Pasa"</formula>
    </cfRule>
    <cfRule type="cellIs" dxfId="1376" priority="262" stopIfTrue="1" operator="equal">
      <formula>"Falla"</formula>
    </cfRule>
    <cfRule type="cellIs" dxfId="1375" priority="263" stopIfTrue="1" operator="equal">
      <formula>"N/A"</formula>
    </cfRule>
    <cfRule type="cellIs" dxfId="1374" priority="264" stopIfTrue="1" operator="equal">
      <formula>"N/T"</formula>
    </cfRule>
    <cfRule type="cellIs" dxfId="1373" priority="265" stopIfTrue="1" operator="equal">
      <formula>"N/D"</formula>
    </cfRule>
  </conditionalFormatting>
  <conditionalFormatting sqref="D19:D53">
    <cfRule type="expression" dxfId="1372" priority="140" stopIfTrue="1">
      <formula>ISBLANK(D19)</formula>
    </cfRule>
    <cfRule type="cellIs" dxfId="1371" priority="141" stopIfTrue="1" operator="equal">
      <formula>"Pasa"</formula>
    </cfRule>
    <cfRule type="cellIs" dxfId="1370" priority="142" stopIfTrue="1" operator="equal">
      <formula>"Falla"</formula>
    </cfRule>
    <cfRule type="cellIs" dxfId="1369" priority="143" stopIfTrue="1" operator="equal">
      <formula>"N/A"</formula>
    </cfRule>
    <cfRule type="cellIs" dxfId="1368" priority="144" stopIfTrue="1" operator="equal">
      <formula>"N/T"</formula>
    </cfRule>
    <cfRule type="cellIs" dxfId="1367" priority="145" stopIfTrue="1" operator="equal">
      <formula>"N/D"</formula>
    </cfRule>
  </conditionalFormatting>
  <conditionalFormatting sqref="D19:D53">
    <cfRule type="cellIs" dxfId="1366" priority="139" stopIfTrue="1" operator="equal">
      <formula>"-"</formula>
    </cfRule>
  </conditionalFormatting>
  <conditionalFormatting sqref="D73:D91">
    <cfRule type="expression" dxfId="1365" priority="133" stopIfTrue="1">
      <formula>ISBLANK(D73)</formula>
    </cfRule>
    <cfRule type="cellIs" dxfId="1364" priority="134" stopIfTrue="1" operator="equal">
      <formula>"Pasa"</formula>
    </cfRule>
    <cfRule type="cellIs" dxfId="1363" priority="135" stopIfTrue="1" operator="equal">
      <formula>"Falla"</formula>
    </cfRule>
    <cfRule type="cellIs" dxfId="1362" priority="136" stopIfTrue="1" operator="equal">
      <formula>"N/A"</formula>
    </cfRule>
    <cfRule type="cellIs" dxfId="1361" priority="137" stopIfTrue="1" operator="equal">
      <formula>"N/T"</formula>
    </cfRule>
    <cfRule type="cellIs" dxfId="1360" priority="138" stopIfTrue="1" operator="equal">
      <formula>"N/D"</formula>
    </cfRule>
  </conditionalFormatting>
  <conditionalFormatting sqref="D73:D91">
    <cfRule type="cellIs" dxfId="1359" priority="132" stopIfTrue="1" operator="equal">
      <formula>"-"</formula>
    </cfRule>
  </conditionalFormatting>
  <conditionalFormatting sqref="D95:D129">
    <cfRule type="expression" dxfId="1358" priority="126" stopIfTrue="1">
      <formula>ISBLANK(D95)</formula>
    </cfRule>
    <cfRule type="cellIs" dxfId="1357" priority="127" stopIfTrue="1" operator="equal">
      <formula>"Pasa"</formula>
    </cfRule>
    <cfRule type="cellIs" dxfId="1356" priority="128" stopIfTrue="1" operator="equal">
      <formula>"Falla"</formula>
    </cfRule>
    <cfRule type="cellIs" dxfId="1355" priority="129" stopIfTrue="1" operator="equal">
      <formula>"N/A"</formula>
    </cfRule>
    <cfRule type="cellIs" dxfId="1354" priority="130" stopIfTrue="1" operator="equal">
      <formula>"N/T"</formula>
    </cfRule>
    <cfRule type="cellIs" dxfId="1353" priority="131" stopIfTrue="1" operator="equal">
      <formula>"N/D"</formula>
    </cfRule>
  </conditionalFormatting>
  <conditionalFormatting sqref="D95:D129">
    <cfRule type="cellIs" dxfId="1352" priority="125" stopIfTrue="1" operator="equal">
      <formula>"-"</formula>
    </cfRule>
  </conditionalFormatting>
  <conditionalFormatting sqref="D225:D243">
    <cfRule type="expression" dxfId="1351" priority="119" stopIfTrue="1">
      <formula>ISBLANK(D225)</formula>
    </cfRule>
    <cfRule type="cellIs" dxfId="1350" priority="120" stopIfTrue="1" operator="equal">
      <formula>"Pasa"</formula>
    </cfRule>
    <cfRule type="cellIs" dxfId="1349" priority="121" stopIfTrue="1" operator="equal">
      <formula>"Falla"</formula>
    </cfRule>
    <cfRule type="cellIs" dxfId="1348" priority="122" stopIfTrue="1" operator="equal">
      <formula>"N/A"</formula>
    </cfRule>
    <cfRule type="cellIs" dxfId="1347" priority="123" stopIfTrue="1" operator="equal">
      <formula>"N/T"</formula>
    </cfRule>
    <cfRule type="cellIs" dxfId="1346" priority="124" stopIfTrue="1" operator="equal">
      <formula>"N/D"</formula>
    </cfRule>
  </conditionalFormatting>
  <conditionalFormatting sqref="D225:D243">
    <cfRule type="cellIs" dxfId="1345" priority="118" stopIfTrue="1" operator="equal">
      <formula>"-"</formula>
    </cfRule>
  </conditionalFormatting>
  <conditionalFormatting sqref="D263:D281">
    <cfRule type="expression" dxfId="1344" priority="112" stopIfTrue="1">
      <formula>ISBLANK(D263)</formula>
    </cfRule>
    <cfRule type="cellIs" dxfId="1343" priority="113" stopIfTrue="1" operator="equal">
      <formula>"Pasa"</formula>
    </cfRule>
    <cfRule type="cellIs" dxfId="1342" priority="114" stopIfTrue="1" operator="equal">
      <formula>"Falla"</formula>
    </cfRule>
    <cfRule type="cellIs" dxfId="1341" priority="115" stopIfTrue="1" operator="equal">
      <formula>"N/A"</formula>
    </cfRule>
    <cfRule type="cellIs" dxfId="1340" priority="116" stopIfTrue="1" operator="equal">
      <formula>"N/T"</formula>
    </cfRule>
    <cfRule type="cellIs" dxfId="1339" priority="117" stopIfTrue="1" operator="equal">
      <formula>"N/D"</formula>
    </cfRule>
  </conditionalFormatting>
  <conditionalFormatting sqref="D263:D281">
    <cfRule type="cellIs" dxfId="1338" priority="111" stopIfTrue="1" operator="equal">
      <formula>"-"</formula>
    </cfRule>
  </conditionalFormatting>
  <conditionalFormatting sqref="D301:D319">
    <cfRule type="expression" dxfId="1337" priority="105" stopIfTrue="1">
      <formula>ISBLANK(D301)</formula>
    </cfRule>
    <cfRule type="cellIs" dxfId="1336" priority="106" stopIfTrue="1" operator="equal">
      <formula>"Pasa"</formula>
    </cfRule>
    <cfRule type="cellIs" dxfId="1335" priority="107" stopIfTrue="1" operator="equal">
      <formula>"Falla"</formula>
    </cfRule>
    <cfRule type="cellIs" dxfId="1334" priority="108" stopIfTrue="1" operator="equal">
      <formula>"N/A"</formula>
    </cfRule>
    <cfRule type="cellIs" dxfId="1333" priority="109" stopIfTrue="1" operator="equal">
      <formula>"N/T"</formula>
    </cfRule>
    <cfRule type="cellIs" dxfId="1332" priority="110" stopIfTrue="1" operator="equal">
      <formula>"N/D"</formula>
    </cfRule>
  </conditionalFormatting>
  <conditionalFormatting sqref="D301:D319">
    <cfRule type="cellIs" dxfId="1331" priority="104" stopIfTrue="1" operator="equal">
      <formula>"-"</formula>
    </cfRule>
  </conditionalFormatting>
  <conditionalFormatting sqref="D339:D357">
    <cfRule type="expression" dxfId="1330" priority="98" stopIfTrue="1">
      <formula>ISBLANK(D339)</formula>
    </cfRule>
    <cfRule type="cellIs" dxfId="1329" priority="99" stopIfTrue="1" operator="equal">
      <formula>"Pasa"</formula>
    </cfRule>
    <cfRule type="cellIs" dxfId="1328" priority="100" stopIfTrue="1" operator="equal">
      <formula>"Falla"</formula>
    </cfRule>
    <cfRule type="cellIs" dxfId="1327" priority="101" stopIfTrue="1" operator="equal">
      <formula>"N/A"</formula>
    </cfRule>
    <cfRule type="cellIs" dxfId="1326" priority="102" stopIfTrue="1" operator="equal">
      <formula>"N/T"</formula>
    </cfRule>
    <cfRule type="cellIs" dxfId="1325" priority="103" stopIfTrue="1" operator="equal">
      <formula>"N/D"</formula>
    </cfRule>
  </conditionalFormatting>
  <conditionalFormatting sqref="D339:D357">
    <cfRule type="cellIs" dxfId="1324" priority="97" stopIfTrue="1" operator="equal">
      <formula>"-"</formula>
    </cfRule>
  </conditionalFormatting>
  <conditionalFormatting sqref="E133:E167">
    <cfRule type="cellIs" dxfId="1323" priority="96" stopIfTrue="1" operator="equal">
      <formula>"ERR"</formula>
    </cfRule>
  </conditionalFormatting>
  <conditionalFormatting sqref="D149:D167">
    <cfRule type="expression" dxfId="1322" priority="84" stopIfTrue="1">
      <formula>ISBLANK(D149)</formula>
    </cfRule>
    <cfRule type="cellIs" dxfId="1321" priority="85" stopIfTrue="1" operator="equal">
      <formula>"Pasa"</formula>
    </cfRule>
    <cfRule type="cellIs" dxfId="1320" priority="86" stopIfTrue="1" operator="equal">
      <formula>"Falla"</formula>
    </cfRule>
    <cfRule type="cellIs" dxfId="1319" priority="87" stopIfTrue="1" operator="equal">
      <formula>"N/A"</formula>
    </cfRule>
    <cfRule type="cellIs" dxfId="1318" priority="88" stopIfTrue="1" operator="equal">
      <formula>"N/T"</formula>
    </cfRule>
    <cfRule type="cellIs" dxfId="1317" priority="89" stopIfTrue="1" operator="equal">
      <formula>"N/D"</formula>
    </cfRule>
  </conditionalFormatting>
  <conditionalFormatting sqref="D149:D167">
    <cfRule type="cellIs" dxfId="1316" priority="83" stopIfTrue="1" operator="equal">
      <formula>"-"</formula>
    </cfRule>
  </conditionalFormatting>
  <conditionalFormatting sqref="E171:E205">
    <cfRule type="cellIs" dxfId="1315" priority="82" stopIfTrue="1" operator="equal">
      <formula>"ERR"</formula>
    </cfRule>
  </conditionalFormatting>
  <conditionalFormatting sqref="D187:D205">
    <cfRule type="expression" dxfId="1314" priority="70" stopIfTrue="1">
      <formula>ISBLANK(D187)</formula>
    </cfRule>
    <cfRule type="cellIs" dxfId="1313" priority="71" stopIfTrue="1" operator="equal">
      <formula>"Pasa"</formula>
    </cfRule>
    <cfRule type="cellIs" dxfId="1312" priority="72" stopIfTrue="1" operator="equal">
      <formula>"Falla"</formula>
    </cfRule>
    <cfRule type="cellIs" dxfId="1311" priority="73" stopIfTrue="1" operator="equal">
      <formula>"N/A"</formula>
    </cfRule>
    <cfRule type="cellIs" dxfId="1310" priority="74" stopIfTrue="1" operator="equal">
      <formula>"N/T"</formula>
    </cfRule>
    <cfRule type="cellIs" dxfId="1309" priority="75" stopIfTrue="1" operator="equal">
      <formula>"N/D"</formula>
    </cfRule>
  </conditionalFormatting>
  <conditionalFormatting sqref="D187:D205">
    <cfRule type="cellIs" dxfId="1308" priority="69" stopIfTrue="1" operator="equal">
      <formula>"-"</formula>
    </cfRule>
  </conditionalFormatting>
  <conditionalFormatting sqref="K23">
    <cfRule type="expression" dxfId="1307" priority="63" stopIfTrue="1">
      <formula>ISBLANK(K23)</formula>
    </cfRule>
    <cfRule type="cellIs" dxfId="1306" priority="64" stopIfTrue="1" operator="equal">
      <formula>"Pasa"</formula>
    </cfRule>
    <cfRule type="cellIs" dxfId="1305" priority="65" stopIfTrue="1" operator="equal">
      <formula>"Falla"</formula>
    </cfRule>
    <cfRule type="cellIs" dxfId="1304" priority="66" stopIfTrue="1" operator="equal">
      <formula>"N/A"</formula>
    </cfRule>
    <cfRule type="cellIs" dxfId="1303" priority="67" stopIfTrue="1" operator="equal">
      <formula>"N/T"</formula>
    </cfRule>
    <cfRule type="cellIs" dxfId="1302" priority="68" stopIfTrue="1" operator="equal">
      <formula>"N/D"</formula>
    </cfRule>
  </conditionalFormatting>
  <conditionalFormatting sqref="K24">
    <cfRule type="expression" dxfId="1301" priority="57" stopIfTrue="1">
      <formula>ISBLANK(K24)</formula>
    </cfRule>
    <cfRule type="cellIs" dxfId="1300" priority="58" stopIfTrue="1" operator="equal">
      <formula>"Pasa"</formula>
    </cfRule>
    <cfRule type="cellIs" dxfId="1299" priority="59" stopIfTrue="1" operator="equal">
      <formula>"Falla"</formula>
    </cfRule>
    <cfRule type="cellIs" dxfId="1298" priority="60" stopIfTrue="1" operator="equal">
      <formula>"N/A"</formula>
    </cfRule>
    <cfRule type="cellIs" dxfId="1297" priority="61" stopIfTrue="1" operator="equal">
      <formula>"N/T"</formula>
    </cfRule>
    <cfRule type="cellIs" dxfId="1296" priority="62" stopIfTrue="1" operator="equal">
      <formula>"N/D"</formula>
    </cfRule>
  </conditionalFormatting>
  <conditionalFormatting sqref="D57:D72">
    <cfRule type="expression" dxfId="1295" priority="51" stopIfTrue="1">
      <formula>ISBLANK(D57)</formula>
    </cfRule>
    <cfRule type="cellIs" dxfId="1294" priority="52" stopIfTrue="1" operator="equal">
      <formula>"Pasa"</formula>
    </cfRule>
    <cfRule type="cellIs" dxfId="1293" priority="53" stopIfTrue="1" operator="equal">
      <formula>"Falla"</formula>
    </cfRule>
    <cfRule type="cellIs" dxfId="1292" priority="54" stopIfTrue="1" operator="equal">
      <formula>"N/A"</formula>
    </cfRule>
    <cfRule type="cellIs" dxfId="1291" priority="55" stopIfTrue="1" operator="equal">
      <formula>"N/T"</formula>
    </cfRule>
    <cfRule type="cellIs" dxfId="1290" priority="56" stopIfTrue="1" operator="equal">
      <formula>"N/D"</formula>
    </cfRule>
  </conditionalFormatting>
  <conditionalFormatting sqref="D57:D72">
    <cfRule type="cellIs" dxfId="1289" priority="50" stopIfTrue="1" operator="equal">
      <formula>"-"</formula>
    </cfRule>
  </conditionalFormatting>
  <conditionalFormatting sqref="D171:D186">
    <cfRule type="expression" dxfId="1288" priority="37" stopIfTrue="1">
      <formula>ISBLANK(D171)</formula>
    </cfRule>
    <cfRule type="cellIs" dxfId="1287" priority="38" stopIfTrue="1" operator="equal">
      <formula>"Pasa"</formula>
    </cfRule>
    <cfRule type="cellIs" dxfId="1286" priority="39" stopIfTrue="1" operator="equal">
      <formula>"Falla"</formula>
    </cfRule>
    <cfRule type="cellIs" dxfId="1285" priority="40" stopIfTrue="1" operator="equal">
      <formula>"N/A"</formula>
    </cfRule>
    <cfRule type="cellIs" dxfId="1284" priority="41" stopIfTrue="1" operator="equal">
      <formula>"N/T"</formula>
    </cfRule>
    <cfRule type="cellIs" dxfId="1283" priority="42" stopIfTrue="1" operator="equal">
      <formula>"N/D"</formula>
    </cfRule>
  </conditionalFormatting>
  <conditionalFormatting sqref="D171:D186">
    <cfRule type="cellIs" dxfId="1282" priority="36" stopIfTrue="1" operator="equal">
      <formula>"-"</formula>
    </cfRule>
  </conditionalFormatting>
  <conditionalFormatting sqref="D209:D224">
    <cfRule type="expression" dxfId="1281" priority="30" stopIfTrue="1">
      <formula>ISBLANK(D209)</formula>
    </cfRule>
    <cfRule type="cellIs" dxfId="1280" priority="31" stopIfTrue="1" operator="equal">
      <formula>"Pasa"</formula>
    </cfRule>
    <cfRule type="cellIs" dxfId="1279" priority="32" stopIfTrue="1" operator="equal">
      <formula>"Falla"</formula>
    </cfRule>
    <cfRule type="cellIs" dxfId="1278" priority="33" stopIfTrue="1" operator="equal">
      <formula>"N/A"</formula>
    </cfRule>
    <cfRule type="cellIs" dxfId="1277" priority="34" stopIfTrue="1" operator="equal">
      <formula>"N/T"</formula>
    </cfRule>
    <cfRule type="cellIs" dxfId="1276" priority="35" stopIfTrue="1" operator="equal">
      <formula>"N/D"</formula>
    </cfRule>
  </conditionalFormatting>
  <conditionalFormatting sqref="D209:D224">
    <cfRule type="cellIs" dxfId="1275" priority="29" stopIfTrue="1" operator="equal">
      <formula>"-"</formula>
    </cfRule>
  </conditionalFormatting>
  <conditionalFormatting sqref="D247:D262">
    <cfRule type="expression" dxfId="1274" priority="23" stopIfTrue="1">
      <formula>ISBLANK(D247)</formula>
    </cfRule>
    <cfRule type="cellIs" dxfId="1273" priority="24" stopIfTrue="1" operator="equal">
      <formula>"Pasa"</formula>
    </cfRule>
    <cfRule type="cellIs" dxfId="1272" priority="25" stopIfTrue="1" operator="equal">
      <formula>"Falla"</formula>
    </cfRule>
    <cfRule type="cellIs" dxfId="1271" priority="26" stopIfTrue="1" operator="equal">
      <formula>"N/A"</formula>
    </cfRule>
    <cfRule type="cellIs" dxfId="1270" priority="27" stopIfTrue="1" operator="equal">
      <formula>"N/T"</formula>
    </cfRule>
    <cfRule type="cellIs" dxfId="1269" priority="28" stopIfTrue="1" operator="equal">
      <formula>"N/D"</formula>
    </cfRule>
  </conditionalFormatting>
  <conditionalFormatting sqref="D247:D262">
    <cfRule type="cellIs" dxfId="1268" priority="22" stopIfTrue="1" operator="equal">
      <formula>"-"</formula>
    </cfRule>
  </conditionalFormatting>
  <conditionalFormatting sqref="D285:D300">
    <cfRule type="expression" dxfId="1267" priority="16" stopIfTrue="1">
      <formula>ISBLANK(D285)</formula>
    </cfRule>
    <cfRule type="cellIs" dxfId="1266" priority="17" stopIfTrue="1" operator="equal">
      <formula>"Pasa"</formula>
    </cfRule>
    <cfRule type="cellIs" dxfId="1265" priority="18" stopIfTrue="1" operator="equal">
      <formula>"Falla"</formula>
    </cfRule>
    <cfRule type="cellIs" dxfId="1264" priority="19" stopIfTrue="1" operator="equal">
      <formula>"N/A"</formula>
    </cfRule>
    <cfRule type="cellIs" dxfId="1263" priority="20" stopIfTrue="1" operator="equal">
      <formula>"N/T"</formula>
    </cfRule>
    <cfRule type="cellIs" dxfId="1262" priority="21" stopIfTrue="1" operator="equal">
      <formula>"N/D"</formula>
    </cfRule>
  </conditionalFormatting>
  <conditionalFormatting sqref="D285:D300">
    <cfRule type="cellIs" dxfId="1261" priority="15" stopIfTrue="1" operator="equal">
      <formula>"-"</formula>
    </cfRule>
  </conditionalFormatting>
  <conditionalFormatting sqref="D323:D338">
    <cfRule type="expression" dxfId="1260" priority="9" stopIfTrue="1">
      <formula>ISBLANK(D323)</formula>
    </cfRule>
    <cfRule type="cellIs" dxfId="1259" priority="10" stopIfTrue="1" operator="equal">
      <formula>"Pasa"</formula>
    </cfRule>
    <cfRule type="cellIs" dxfId="1258" priority="11" stopIfTrue="1" operator="equal">
      <formula>"Falla"</formula>
    </cfRule>
    <cfRule type="cellIs" dxfId="1257" priority="12" stopIfTrue="1" operator="equal">
      <formula>"N/A"</formula>
    </cfRule>
    <cfRule type="cellIs" dxfId="1256" priority="13" stopIfTrue="1" operator="equal">
      <formula>"N/T"</formula>
    </cfRule>
    <cfRule type="cellIs" dxfId="1255" priority="14" stopIfTrue="1" operator="equal">
      <formula>"N/D"</formula>
    </cfRule>
  </conditionalFormatting>
  <conditionalFormatting sqref="D323:D338">
    <cfRule type="cellIs" dxfId="1254" priority="8" stopIfTrue="1" operator="equal">
      <formula>"-"</formula>
    </cfRule>
  </conditionalFormatting>
  <conditionalFormatting sqref="D133:D148">
    <cfRule type="expression" dxfId="1253" priority="2" stopIfTrue="1">
      <formula>ISBLANK(D133)</formula>
    </cfRule>
    <cfRule type="cellIs" dxfId="1252" priority="3" stopIfTrue="1" operator="equal">
      <formula>"Pasa"</formula>
    </cfRule>
    <cfRule type="cellIs" dxfId="1251" priority="4" stopIfTrue="1" operator="equal">
      <formula>"Falla"</formula>
    </cfRule>
    <cfRule type="cellIs" dxfId="1250" priority="5" stopIfTrue="1" operator="equal">
      <formula>"N/A"</formula>
    </cfRule>
    <cfRule type="cellIs" dxfId="1249" priority="6" stopIfTrue="1" operator="equal">
      <formula>"N/T"</formula>
    </cfRule>
    <cfRule type="cellIs" dxfId="1248" priority="7" stopIfTrue="1" operator="equal">
      <formula>"N/D"</formula>
    </cfRule>
  </conditionalFormatting>
  <conditionalFormatting sqref="D133:D148">
    <cfRule type="cellIs" dxfId="1247"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L1982"/>
  <sheetViews>
    <sheetView zoomScale="90" zoomScaleNormal="90"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6.71093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95" customHeight="1">
      <c r="B8" s="111" t="s">
        <v>153</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COUNTIF($B$18:$B$3962,B12)</f>
        <v>50</v>
      </c>
      <c r="D12" s="28"/>
      <c r="E12" s="14"/>
      <c r="F12" s="62" t="s">
        <v>26</v>
      </c>
      <c r="G12" s="61">
        <f ca="1">J20+J58+J96+J134+J172+J210+J248+J286+J324+J362+J400+J438+J476+J514+J552+J590+J628+J666+J704+J742+J780+J818+J856+J894+J932+J970+J1008+J1046+J1084+J1122+J1160+J1198+J1236+J1274+J1312+J1350+J1388+J1426+J1464+J1502+J1540+J1578+J1616+J1654+J1692+J1730+J1768+J1806+J1844+J1882</f>
        <v>345</v>
      </c>
      <c r="H12" s="53">
        <f ca="1">IF(($G$15+$K$15)=0,0,G12/($G$15+$K$15))</f>
        <v>0.43125000000000002</v>
      </c>
      <c r="I12" s="28"/>
      <c r="J12" s="60" t="s">
        <v>27</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I20+I58+I96+I134+I172+I210+I248+I286+I324+I362+I400+I438+I476+I514+I552+I590+I628+I666+I704+I742+I780+I818+I856+I894+I932+I970+I1008+I1046+I1084+I1122+I1160+I1198+I1236+I1274+I1312+I1350+I1388+I1426+I1464+I1502+I1540+I1578+I1616+I1654+I1692+I1730+I1768+I1806+I1844+I1882</f>
        <v>128</v>
      </c>
      <c r="H13" s="53">
        <f ca="1">IF(($G$15+$K$15)=0,0,G13/($G$15+$K$15))</f>
        <v>0.16</v>
      </c>
      <c r="I13" s="28"/>
      <c r="J13" s="60" t="s">
        <v>29</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30</v>
      </c>
      <c r="C14" s="59">
        <f>C12+C13</f>
        <v>50</v>
      </c>
      <c r="D14" s="28"/>
      <c r="E14" s="14"/>
      <c r="F14" s="62" t="s">
        <v>31</v>
      </c>
      <c r="G14" s="61">
        <f ca="1">H20+H58+H96+H134+H172+H210+H248+H286+H324+H362+H400+H438+H476+H514+H552+H590+H628+H666+H704+H742+H780+H818+H856+H894+H932+H970+H1008+H1046+H1084+H1122+H1160+H1198+H1236+H1274+H1312+H1350+H1388+H1426+H1464+H1502+H1540+H1578+H1616+H1654+H1692+H1730+H1768+H1806+H1844+H1882</f>
        <v>327</v>
      </c>
      <c r="H14" s="53">
        <f ca="1">IF(($G$15+$K$15)=0,0,G14/($G$15+$K$15))</f>
        <v>0.40875</v>
      </c>
      <c r="I14" s="28"/>
      <c r="J14" s="231" t="s">
        <v>474</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800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373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https://www.comunidad.madrid/hospital/clinicosancarlos/</v>
      </c>
      <c r="D19" s="130" t="s">
        <v>28</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https://www.comunidad.madrid/hospital/clinicosancarlos/ciudadanos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2</v>
      </c>
      <c r="J20" s="120">
        <f ca="1">COUNTIF($D19:INDIRECT("$D" &amp;  SUM(ROW()-1,'03.Muestra'!$D$45)-1),J19)</f>
        <v>14</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Consultas externas</v>
      </c>
      <c r="C21" s="114" t="str" cm="1">
        <f t="array" ref="C21">IFERROR(INDEX('03.Muestra'!$F$8:$F$42,SMALL(IF("Página Web"='03.Muestra'!$D$8:$D$42,ROW('03.Muestra'!$F$8:$F$42)-MIN(ROW('03.Muestra'!$D$8:$D$42))+1,""),ROW()-18)),"")</f>
        <v>https://www.comunidad.madrid/hospital/clinicosancarlos/ciudadanos/consultas-externas</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Donación</v>
      </c>
      <c r="C22" s="114" t="str" cm="1">
        <f t="array" ref="C22">IFERROR(INDEX('03.Muestra'!$F$8:$F$42,SMALL(IF("Página Web"='03.Muestra'!$D$8:$D$42,ROW('03.Muestra'!$F$8:$F$42)-MIN(ROW('03.Muestra'!$D$8:$D$42))+1,""),ROW()-18)),"")</f>
        <v>https://www.comunidad.madrid/hospital/clinicosancarlos/ciudadanos/donacion-0</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https://www.comunidad.madrid/hospital/clinicosancarlos/profesionales</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Docencia</v>
      </c>
      <c r="C24" s="114" t="str" cm="1">
        <f t="array" ref="C24">IFERROR(INDEX('03.Muestra'!$F$8:$F$42,SMALL(IF("Página Web"='03.Muestra'!$D$8:$D$42,ROW('03.Muestra'!$F$8:$F$42)-MIN(ROW('03.Muestra'!$D$8:$D$42))+1,""),ROW()-18)),"")</f>
        <v>https://www.comunidad.madrid/hospital/clinicosancarlos/profesionales/docencia</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Referencia</v>
      </c>
      <c r="C25" s="114" t="str" cm="1">
        <f t="array" ref="C25">IFERROR(INDEX('03.Muestra'!$F$8:$F$42,SMALL(IF("Página Web"='03.Muestra'!$D$8:$D$42,ROW('03.Muestra'!$F$8:$F$42)-MIN(ROW('03.Muestra'!$D$8:$D$42))+1,""),ROW()-18)),"")</f>
        <v>https://www.comunidad.madrid/hospital/clinicosancarlos/profesionales/unidades-referencia-nacional-redes-europeas</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Comunicación</v>
      </c>
      <c r="C26" s="114" t="str" cm="1">
        <f t="array" ref="C26">IFERROR(INDEX('03.Muestra'!$F$8:$F$42,SMALL(IF("Página Web"='03.Muestra'!$D$8:$D$42,ROW('03.Muestra'!$F$8:$F$42)-MIN(ROW('03.Muestra'!$D$8:$D$42))+1,""),ROW()-18)),"")</f>
        <v>https://www.comunidad.madrid/hospital/clinicosancarlos/comunicacion</v>
      </c>
      <c r="D26" s="130" t="s">
        <v>28</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Videoteca</v>
      </c>
      <c r="C27" s="114" t="str" cm="1">
        <f t="array" ref="C27">IFERROR(INDEX('03.Muestra'!$F$8:$F$42,SMALL(IF("Página Web"='03.Muestra'!$D$8:$D$42,ROW('03.Muestra'!$F$8:$F$42)-MIN(ROW('03.Muestra'!$D$8:$D$42))+1,""),ROW()-18)),"")</f>
        <v>https://www.comunidad.madrid/hospital/clinicosancarlos/comunicacion/videoteca</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Noticias</v>
      </c>
      <c r="C28" s="114" t="str" cm="1">
        <f t="array" ref="C28">IFERROR(INDEX('03.Muestra'!$F$8:$F$42,SMALL(IF("Página Web"='03.Muestra'!$D$8:$D$42,ROW('03.Muestra'!$F$8:$F$42)-MIN(ROW('03.Muestra'!$D$8:$D$42))+1,""),ROW()-18)),"")</f>
        <v>https://www.comunidad.madrid/hospital/clinicosancarlos/comunicacion/noticias</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Nosotros</v>
      </c>
      <c r="C29" s="114" t="str" cm="1">
        <f t="array" ref="C29">IFERROR(INDEX('03.Muestra'!$F$8:$F$42,SMALL(IF("Página Web"='03.Muestra'!$D$8:$D$42,ROW('03.Muestra'!$F$8:$F$42)-MIN(ROW('03.Muestra'!$D$8:$D$42))+1,""),ROW()-18)),"")</f>
        <v>https://www.comunidad.madrid/hospital/clinicosancarlos/nosotros</v>
      </c>
      <c r="D29" s="130" t="s">
        <v>26</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Gestión Ambiental</v>
      </c>
      <c r="C30" s="114" t="str" cm="1">
        <f t="array" ref="C30">IFERROR(INDEX('03.Muestra'!$F$8:$F$42,SMALL(IF("Página Web"='03.Muestra'!$D$8:$D$42,ROW('03.Muestra'!$F$8:$F$42)-MIN(ROW('03.Muestra'!$D$8:$D$42))+1,""),ROW()-18)),"")</f>
        <v>https://www.comunidad.madrid/hospital/clinicosancarlos/nosotros/gestion-ambiental</v>
      </c>
      <c r="D30" s="130" t="s">
        <v>26</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Proveedores</v>
      </c>
      <c r="C31" s="114" t="str" cm="1">
        <f t="array" ref="C31">IFERROR(INDEX('03.Muestra'!$F$8:$F$42,SMALL(IF("Página Web"='03.Muestra'!$D$8:$D$42,ROW('03.Muestra'!$F$8:$F$42)-MIN(ROW('03.Muestra'!$D$8:$D$42))+1,""),ROW()-18)),"")</f>
        <v>https://www.comunidad.madrid/hospital/clinicosancarlos/nosotros/proveedores-0</v>
      </c>
      <c r="D31" s="130" t="s">
        <v>26</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Aviso legal</v>
      </c>
      <c r="C32" s="114" t="str" cm="1">
        <f t="array" ref="C32">IFERROR(INDEX('03.Muestra'!$F$8:$F$42,SMALL(IF("Página Web"='03.Muestra'!$D$8:$D$42,ROW('03.Muestra'!$F$8:$F$42)-MIN(ROW('03.Muestra'!$D$8:$D$42))+1,""),ROW()-18)),"")</f>
        <v>https://www.comunidad.madrid/hospital/clinicosancarlos/aviso-legal-privacidad</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Mapa web</v>
      </c>
      <c r="C33" s="114" t="str" cm="1">
        <f t="array" ref="C33">IFERROR(INDEX('03.Muestra'!$F$8:$F$42,SMALL(IF("Página Web"='03.Muestra'!$D$8:$D$42,ROW('03.Muestra'!$F$8:$F$42)-MIN(ROW('03.Muestra'!$D$8:$D$42))+1,""),ROW()-18)),"")</f>
        <v>https://www.comunidad.madrid/hospital/clinicosancarlos/sitemap</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Accesibilidad</v>
      </c>
      <c r="C34" s="114" t="str" cm="1">
        <f t="array" ref="C34">IFERROR(INDEX('03.Muestra'!$F$8:$F$42,SMALL(IF("Página Web"='03.Muestra'!$D$8:$D$42,ROW('03.Muestra'!$F$8:$F$42)-MIN(ROW('03.Muestra'!$D$8:$D$42))+1,""),ROW()-18)),"")</f>
        <v>https://www.comunidad.madrid/hospital/clinicosancarlos/declaracion-accesibilidad</v>
      </c>
      <c r="D34" s="130" t="s">
        <v>26</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374</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https://www.comunidad.madrid/hospital/clinicosancarlos/</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https://www.comunidad.madrid/hospital/clinicosancarlos/ciudadanos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Consultas externas</v>
      </c>
      <c r="C59" s="114" t="str" cm="1">
        <f t="array" ref="C59">IFERROR(INDEX('03.Muestra'!$F$8:$F$42,SMALL(IF("Página Web"='03.Muestra'!$D$8:$D$42,ROW('03.Muestra'!$F$8:$F$42)-MIN(ROW('03.Muestra'!$D$8:$D$42))+1,""),ROW()-56)),"")</f>
        <v>https://www.comunidad.madrid/hospital/clinicosancarlos/ciudadanos/consultas-externas</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Donación</v>
      </c>
      <c r="C60" s="114" t="str" cm="1">
        <f t="array" ref="C60">IFERROR(INDEX('03.Muestra'!$F$8:$F$42,SMALL(IF("Página Web"='03.Muestra'!$D$8:$D$42,ROW('03.Muestra'!$F$8:$F$42)-MIN(ROW('03.Muestra'!$D$8:$D$42))+1,""),ROW()-56)),"")</f>
        <v>https://www.comunidad.madrid/hospital/clinicosancarlos/ciudadanos/donacion-0</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https://www.comunidad.madrid/hospital/clinicosancarlos/profesionales</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Docencia</v>
      </c>
      <c r="C62" s="114" t="str" cm="1">
        <f t="array" ref="C62">IFERROR(INDEX('03.Muestra'!$F$8:$F$42,SMALL(IF("Página Web"='03.Muestra'!$D$8:$D$42,ROW('03.Muestra'!$F$8:$F$42)-MIN(ROW('03.Muestra'!$D$8:$D$42))+1,""),ROW()-56)),"")</f>
        <v>https://www.comunidad.madrid/hospital/clinicosancarlos/profesionales/docencia</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Referencia</v>
      </c>
      <c r="C63" s="114" t="str" cm="1">
        <f t="array" ref="C63">IFERROR(INDEX('03.Muestra'!$F$8:$F$42,SMALL(IF("Página Web"='03.Muestra'!$D$8:$D$42,ROW('03.Muestra'!$F$8:$F$42)-MIN(ROW('03.Muestra'!$D$8:$D$42))+1,""),ROW()-56)),"")</f>
        <v>https://www.comunidad.madrid/hospital/clinicosancarlos/profesionales/unidades-referencia-nacional-redes-europeas</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Comunicación</v>
      </c>
      <c r="C64" s="114" t="str" cm="1">
        <f t="array" ref="C64">IFERROR(INDEX('03.Muestra'!$F$8:$F$42,SMALL(IF("Página Web"='03.Muestra'!$D$8:$D$42,ROW('03.Muestra'!$F$8:$F$42)-MIN(ROW('03.Muestra'!$D$8:$D$42))+1,""),ROW()-56)),"")</f>
        <v>https://www.comunidad.madrid/hospital/clinicosancarlos/comunicacion</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Videoteca</v>
      </c>
      <c r="C65" s="114" t="str" cm="1">
        <f t="array" ref="C65">IFERROR(INDEX('03.Muestra'!$F$8:$F$42,SMALL(IF("Página Web"='03.Muestra'!$D$8:$D$42,ROW('03.Muestra'!$F$8:$F$42)-MIN(ROW('03.Muestra'!$D$8:$D$42))+1,""),ROW()-56)),"")</f>
        <v>https://www.comunidad.madrid/hospital/clinicosancarlos/comunicacion/videoteca</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Noticias</v>
      </c>
      <c r="C66" s="114" t="str" cm="1">
        <f t="array" ref="C66">IFERROR(INDEX('03.Muestra'!$F$8:$F$42,SMALL(IF("Página Web"='03.Muestra'!$D$8:$D$42,ROW('03.Muestra'!$F$8:$F$42)-MIN(ROW('03.Muestra'!$D$8:$D$42))+1,""),ROW()-56)),"")</f>
        <v>https://www.comunidad.madrid/hospital/clinicosancarlos/comunicacion/noticias</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Nosotros</v>
      </c>
      <c r="C67" s="114" t="str" cm="1">
        <f t="array" ref="C67">IFERROR(INDEX('03.Muestra'!$F$8:$F$42,SMALL(IF("Página Web"='03.Muestra'!$D$8:$D$42,ROW('03.Muestra'!$F$8:$F$42)-MIN(ROW('03.Muestra'!$D$8:$D$42))+1,""),ROW()-56)),"")</f>
        <v>https://www.comunidad.madrid/hospital/clinicosancarlos/nosotros</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Gestión Ambiental</v>
      </c>
      <c r="C68" s="114" t="str" cm="1">
        <f t="array" ref="C68">IFERROR(INDEX('03.Muestra'!$F$8:$F$42,SMALL(IF("Página Web"='03.Muestra'!$D$8:$D$42,ROW('03.Muestra'!$F$8:$F$42)-MIN(ROW('03.Muestra'!$D$8:$D$42))+1,""),ROW()-56)),"")</f>
        <v>https://www.comunidad.madrid/hospital/clinicosancarlos/nosotros/gestion-ambiental</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Proveedores</v>
      </c>
      <c r="C69" s="114" t="str" cm="1">
        <f t="array" ref="C69">IFERROR(INDEX('03.Muestra'!$F$8:$F$42,SMALL(IF("Página Web"='03.Muestra'!$D$8:$D$42,ROW('03.Muestra'!$F$8:$F$42)-MIN(ROW('03.Muestra'!$D$8:$D$42))+1,""),ROW()-56)),"")</f>
        <v>https://www.comunidad.madrid/hospital/clinicosancarlos/nosotros/proveedores-0</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Aviso legal</v>
      </c>
      <c r="C70" s="114" t="str" cm="1">
        <f t="array" ref="C70">IFERROR(INDEX('03.Muestra'!$F$8:$F$42,SMALL(IF("Página Web"='03.Muestra'!$D$8:$D$42,ROW('03.Muestra'!$F$8:$F$42)-MIN(ROW('03.Muestra'!$D$8:$D$42))+1,""),ROW()-56)),"")</f>
        <v>https://www.comunidad.madrid/hospital/clinicosancarlos/aviso-legal-privacidad</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Mapa web</v>
      </c>
      <c r="C71" s="114" t="str" cm="1">
        <f t="array" ref="C71">IFERROR(INDEX('03.Muestra'!$F$8:$F$42,SMALL(IF("Página Web"='03.Muestra'!$D$8:$D$42,ROW('03.Muestra'!$F$8:$F$42)-MIN(ROW('03.Muestra'!$D$8:$D$42))+1,""),ROW()-56)),"")</f>
        <v>https://www.comunidad.madrid/hospital/clinicosancarlos/sitemap</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Accesibilidad</v>
      </c>
      <c r="C72" s="114" t="str" cm="1">
        <f t="array" ref="C72">IFERROR(INDEX('03.Muestra'!$F$8:$F$42,SMALL(IF("Página Web"='03.Muestra'!$D$8:$D$42,ROW('03.Muestra'!$F$8:$F$42)-MIN(ROW('03.Muestra'!$D$8:$D$42))+1,""),ROW()-56)),"")</f>
        <v>https://www.comunidad.madrid/hospital/clinicosancarlos/declaracion-accesibilidad</v>
      </c>
      <c r="D72" s="130" t="s">
        <v>35</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375</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https://www.comunidad.madrid/hospital/clinicosancarlos/</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https://www.comunidad.madrid/hospital/clinicosancarlos/ciudadanos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14</v>
      </c>
      <c r="I96" s="120">
        <f ca="1">COUNTIF($D95:INDIRECT("$D" &amp;  SUM(ROW()-1,'03.Muestra'!$D$45)-1),I95)</f>
        <v>0</v>
      </c>
      <c r="J96" s="120">
        <f ca="1">COUNTIF($D95:INDIRECT("$D" &amp;  SUM(ROW()-1,'03.Muestra'!$D$45)-1),J95)</f>
        <v>2</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Consultas externas</v>
      </c>
      <c r="C97" s="114" t="str" cm="1">
        <f t="array" ref="C97">IFERROR(INDEX('03.Muestra'!$F$8:$F$42,SMALL(IF("Página Web"='03.Muestra'!$D$8:$D$42,ROW('03.Muestra'!$F$8:$F$42)-MIN(ROW('03.Muestra'!$D$8:$D$42))+1,""),ROW()-94)),"")</f>
        <v>https://www.comunidad.madrid/hospital/clinicosancarlos/ciudadanos/consultas-externas</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Donación</v>
      </c>
      <c r="C98" s="114" t="str" cm="1">
        <f t="array" ref="C98">IFERROR(INDEX('03.Muestra'!$F$8:$F$42,SMALL(IF("Página Web"='03.Muestra'!$D$8:$D$42,ROW('03.Muestra'!$F$8:$F$42)-MIN(ROW('03.Muestra'!$D$8:$D$42))+1,""),ROW()-94)),"")</f>
        <v>https://www.comunidad.madrid/hospital/clinicosancarlos/ciudadanos/donacion-0</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https://www.comunidad.madrid/hospital/clinicosancarlos/profesionales</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Docencia</v>
      </c>
      <c r="C100" s="114" t="str" cm="1">
        <f t="array" ref="C100">IFERROR(INDEX('03.Muestra'!$F$8:$F$42,SMALL(IF("Página Web"='03.Muestra'!$D$8:$D$42,ROW('03.Muestra'!$F$8:$F$42)-MIN(ROW('03.Muestra'!$D$8:$D$42))+1,""),ROW()-94)),"")</f>
        <v>https://www.comunidad.madrid/hospital/clinicosancarlos/profesionales/docencia</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Referencia</v>
      </c>
      <c r="C101" s="114" t="str" cm="1">
        <f t="array" ref="C101">IFERROR(INDEX('03.Muestra'!$F$8:$F$42,SMALL(IF("Página Web"='03.Muestra'!$D$8:$D$42,ROW('03.Muestra'!$F$8:$F$42)-MIN(ROW('03.Muestra'!$D$8:$D$42))+1,""),ROW()-94)),"")</f>
        <v>https://www.comunidad.madrid/hospital/clinicosancarlos/profesionales/unidades-referencia-nacional-redes-europeas</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Comunicación</v>
      </c>
      <c r="C102" s="114" t="str" cm="1">
        <f t="array" ref="C102">IFERROR(INDEX('03.Muestra'!$F$8:$F$42,SMALL(IF("Página Web"='03.Muestra'!$D$8:$D$42,ROW('03.Muestra'!$F$8:$F$42)-MIN(ROW('03.Muestra'!$D$8:$D$42))+1,""),ROW()-94)),"")</f>
        <v>https://www.comunidad.madrid/hospital/clinicosancarlos/comunicacion</v>
      </c>
      <c r="D102" s="130" t="s">
        <v>26</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Videoteca</v>
      </c>
      <c r="C103" s="114" t="str" cm="1">
        <f t="array" ref="C103">IFERROR(INDEX('03.Muestra'!$F$8:$F$42,SMALL(IF("Página Web"='03.Muestra'!$D$8:$D$42,ROW('03.Muestra'!$F$8:$F$42)-MIN(ROW('03.Muestra'!$D$8:$D$42))+1,""),ROW()-94)),"")</f>
        <v>https://www.comunidad.madrid/hospital/clinicosancarlos/comunicacion/videoteca</v>
      </c>
      <c r="D103" s="130" t="s">
        <v>26</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Noticias</v>
      </c>
      <c r="C104" s="114" t="str" cm="1">
        <f t="array" ref="C104">IFERROR(INDEX('03.Muestra'!$F$8:$F$42,SMALL(IF("Página Web"='03.Muestra'!$D$8:$D$42,ROW('03.Muestra'!$F$8:$F$42)-MIN(ROW('03.Muestra'!$D$8:$D$42))+1,""),ROW()-94)),"")</f>
        <v>https://www.comunidad.madrid/hospital/clinicosancarlos/comunicacion/noticias</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Nosotros</v>
      </c>
      <c r="C105" s="114" t="str" cm="1">
        <f t="array" ref="C105">IFERROR(INDEX('03.Muestra'!$F$8:$F$42,SMALL(IF("Página Web"='03.Muestra'!$D$8:$D$42,ROW('03.Muestra'!$F$8:$F$42)-MIN(ROW('03.Muestra'!$D$8:$D$42))+1,""),ROW()-94)),"")</f>
        <v>https://www.comunidad.madrid/hospital/clinicosancarlos/nosotros</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Gestión Ambiental</v>
      </c>
      <c r="C106" s="114" t="str" cm="1">
        <f t="array" ref="C106">IFERROR(INDEX('03.Muestra'!$F$8:$F$42,SMALL(IF("Página Web"='03.Muestra'!$D$8:$D$42,ROW('03.Muestra'!$F$8:$F$42)-MIN(ROW('03.Muestra'!$D$8:$D$42))+1,""),ROW()-94)),"")</f>
        <v>https://www.comunidad.madrid/hospital/clinicosancarlos/nosotros/gestion-ambiental</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Proveedores</v>
      </c>
      <c r="C107" s="114" t="str" cm="1">
        <f t="array" ref="C107">IFERROR(INDEX('03.Muestra'!$F$8:$F$42,SMALL(IF("Página Web"='03.Muestra'!$D$8:$D$42,ROW('03.Muestra'!$F$8:$F$42)-MIN(ROW('03.Muestra'!$D$8:$D$42))+1,""),ROW()-94)),"")</f>
        <v>https://www.comunidad.madrid/hospital/clinicosancarlos/nosotros/proveedores-0</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Aviso legal</v>
      </c>
      <c r="C108" s="114" t="str" cm="1">
        <f t="array" ref="C108">IFERROR(INDEX('03.Muestra'!$F$8:$F$42,SMALL(IF("Página Web"='03.Muestra'!$D$8:$D$42,ROW('03.Muestra'!$F$8:$F$42)-MIN(ROW('03.Muestra'!$D$8:$D$42))+1,""),ROW()-94)),"")</f>
        <v>https://www.comunidad.madrid/hospital/clinicosancarlos/aviso-legal-privacidad</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Mapa web</v>
      </c>
      <c r="C109" s="114" t="str" cm="1">
        <f t="array" ref="C109">IFERROR(INDEX('03.Muestra'!$F$8:$F$42,SMALL(IF("Página Web"='03.Muestra'!$D$8:$D$42,ROW('03.Muestra'!$F$8:$F$42)-MIN(ROW('03.Muestra'!$D$8:$D$42))+1,""),ROW()-94)),"")</f>
        <v>https://www.comunidad.madrid/hospital/clinicosancarlos/sitemap</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Accesibilidad</v>
      </c>
      <c r="C110" s="114" t="str" cm="1">
        <f t="array" ref="C110">IFERROR(INDEX('03.Muestra'!$F$8:$F$42,SMALL(IF("Página Web"='03.Muestra'!$D$8:$D$42,ROW('03.Muestra'!$F$8:$F$42)-MIN(ROW('03.Muestra'!$D$8:$D$42))+1,""),ROW()-94)),"")</f>
        <v>https://www.comunidad.madrid/hospital/clinicosancarlos/declaracion-accesibilidad</v>
      </c>
      <c r="D110" s="130" t="s">
        <v>35</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376</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https://www.comunidad.madrid/hospital/clinicosancarlos/</v>
      </c>
      <c r="D133" s="130" t="s">
        <v>28</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https://www.comunidad.madrid/hospital/clinicosancarlos/ciudadanos</v>
      </c>
      <c r="D134" s="130" t="s">
        <v>28</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16</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Consultas externas</v>
      </c>
      <c r="C135" s="114" t="str" cm="1">
        <f t="array" ref="C135">IFERROR(INDEX('03.Muestra'!$F$8:$F$42,SMALL(IF("Página Web"='03.Muestra'!$D$8:$D$42,ROW('03.Muestra'!$F$8:$F$42)-MIN(ROW('03.Muestra'!$D$8:$D$42))+1,""),ROW()-132)),"")</f>
        <v>https://www.comunidad.madrid/hospital/clinicosancarlos/ciudadanos/consultas-externas</v>
      </c>
      <c r="D135" s="130" t="s">
        <v>28</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Donación</v>
      </c>
      <c r="C136" s="114" t="str" cm="1">
        <f t="array" ref="C136">IFERROR(INDEX('03.Muestra'!$F$8:$F$42,SMALL(IF("Página Web"='03.Muestra'!$D$8:$D$42,ROW('03.Muestra'!$F$8:$F$42)-MIN(ROW('03.Muestra'!$D$8:$D$42))+1,""),ROW()-132)),"")</f>
        <v>https://www.comunidad.madrid/hospital/clinicosancarlos/ciudadanos/donacion-0</v>
      </c>
      <c r="D136" s="130" t="s">
        <v>28</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https://www.comunidad.madrid/hospital/clinicosancarlos/profesionales</v>
      </c>
      <c r="D137" s="130" t="s">
        <v>28</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Docencia</v>
      </c>
      <c r="C138" s="114" t="str" cm="1">
        <f t="array" ref="C138">IFERROR(INDEX('03.Muestra'!$F$8:$F$42,SMALL(IF("Página Web"='03.Muestra'!$D$8:$D$42,ROW('03.Muestra'!$F$8:$F$42)-MIN(ROW('03.Muestra'!$D$8:$D$42))+1,""),ROW()-132)),"")</f>
        <v>https://www.comunidad.madrid/hospital/clinicosancarlos/profesionales/docencia</v>
      </c>
      <c r="D138" s="130" t="s">
        <v>28</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Referencia</v>
      </c>
      <c r="C139" s="114" t="str" cm="1">
        <f t="array" ref="C139">IFERROR(INDEX('03.Muestra'!$F$8:$F$42,SMALL(IF("Página Web"='03.Muestra'!$D$8:$D$42,ROW('03.Muestra'!$F$8:$F$42)-MIN(ROW('03.Muestra'!$D$8:$D$42))+1,""),ROW()-132)),"")</f>
        <v>https://www.comunidad.madrid/hospital/clinicosancarlos/profesionales/unidades-referencia-nacional-redes-europeas</v>
      </c>
      <c r="D139" s="130" t="s">
        <v>28</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Comunicación</v>
      </c>
      <c r="C140" s="114" t="str" cm="1">
        <f t="array" ref="C140">IFERROR(INDEX('03.Muestra'!$F$8:$F$42,SMALL(IF("Página Web"='03.Muestra'!$D$8:$D$42,ROW('03.Muestra'!$F$8:$F$42)-MIN(ROW('03.Muestra'!$D$8:$D$42))+1,""),ROW()-132)),"")</f>
        <v>https://www.comunidad.madrid/hospital/clinicosancarlos/comunicacion</v>
      </c>
      <c r="D140" s="130" t="s">
        <v>28</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Videoteca</v>
      </c>
      <c r="C141" s="114" t="str" cm="1">
        <f t="array" ref="C141">IFERROR(INDEX('03.Muestra'!$F$8:$F$42,SMALL(IF("Página Web"='03.Muestra'!$D$8:$D$42,ROW('03.Muestra'!$F$8:$F$42)-MIN(ROW('03.Muestra'!$D$8:$D$42))+1,""),ROW()-132)),"")</f>
        <v>https://www.comunidad.madrid/hospital/clinicosancarlos/comunicacion/videoteca</v>
      </c>
      <c r="D141" s="130" t="s">
        <v>28</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Noticias</v>
      </c>
      <c r="C142" s="114" t="str" cm="1">
        <f t="array" ref="C142">IFERROR(INDEX('03.Muestra'!$F$8:$F$42,SMALL(IF("Página Web"='03.Muestra'!$D$8:$D$42,ROW('03.Muestra'!$F$8:$F$42)-MIN(ROW('03.Muestra'!$D$8:$D$42))+1,""),ROW()-132)),"")</f>
        <v>https://www.comunidad.madrid/hospital/clinicosancarlos/comunicacion/noticias</v>
      </c>
      <c r="D142" s="130" t="s">
        <v>28</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Nosotros</v>
      </c>
      <c r="C143" s="114" t="str" cm="1">
        <f t="array" ref="C143">IFERROR(INDEX('03.Muestra'!$F$8:$F$42,SMALL(IF("Página Web"='03.Muestra'!$D$8:$D$42,ROW('03.Muestra'!$F$8:$F$42)-MIN(ROW('03.Muestra'!$D$8:$D$42))+1,""),ROW()-132)),"")</f>
        <v>https://www.comunidad.madrid/hospital/clinicosancarlos/nosotros</v>
      </c>
      <c r="D143" s="130" t="s">
        <v>28</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Gestión Ambiental</v>
      </c>
      <c r="C144" s="114" t="str" cm="1">
        <f t="array" ref="C144">IFERROR(INDEX('03.Muestra'!$F$8:$F$42,SMALL(IF("Página Web"='03.Muestra'!$D$8:$D$42,ROW('03.Muestra'!$F$8:$F$42)-MIN(ROW('03.Muestra'!$D$8:$D$42))+1,""),ROW()-132)),"")</f>
        <v>https://www.comunidad.madrid/hospital/clinicosancarlos/nosotros/gestion-ambiental</v>
      </c>
      <c r="D144" s="130" t="s">
        <v>28</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Proveedores</v>
      </c>
      <c r="C145" s="114" t="str" cm="1">
        <f t="array" ref="C145">IFERROR(INDEX('03.Muestra'!$F$8:$F$42,SMALL(IF("Página Web"='03.Muestra'!$D$8:$D$42,ROW('03.Muestra'!$F$8:$F$42)-MIN(ROW('03.Muestra'!$D$8:$D$42))+1,""),ROW()-132)),"")</f>
        <v>https://www.comunidad.madrid/hospital/clinicosancarlos/nosotros/proveedores-0</v>
      </c>
      <c r="D145" s="130" t="s">
        <v>28</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Aviso legal</v>
      </c>
      <c r="C146" s="114" t="str" cm="1">
        <f t="array" ref="C146">IFERROR(INDEX('03.Muestra'!$F$8:$F$42,SMALL(IF("Página Web"='03.Muestra'!$D$8:$D$42,ROW('03.Muestra'!$F$8:$F$42)-MIN(ROW('03.Muestra'!$D$8:$D$42))+1,""),ROW()-132)),"")</f>
        <v>https://www.comunidad.madrid/hospital/clinicosancarlos/aviso-legal-privacidad</v>
      </c>
      <c r="D146" s="130" t="s">
        <v>28</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Mapa web</v>
      </c>
      <c r="C147" s="114" t="str" cm="1">
        <f t="array" ref="C147">IFERROR(INDEX('03.Muestra'!$F$8:$F$42,SMALL(IF("Página Web"='03.Muestra'!$D$8:$D$42,ROW('03.Muestra'!$F$8:$F$42)-MIN(ROW('03.Muestra'!$D$8:$D$42))+1,""),ROW()-132)),"")</f>
        <v>https://www.comunidad.madrid/hospital/clinicosancarlos/sitemap</v>
      </c>
      <c r="D147" s="130" t="s">
        <v>28</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Accesibilidad</v>
      </c>
      <c r="C148" s="114" t="str" cm="1">
        <f t="array" ref="C148">IFERROR(INDEX('03.Muestra'!$F$8:$F$42,SMALL(IF("Página Web"='03.Muestra'!$D$8:$D$42,ROW('03.Muestra'!$F$8:$F$42)-MIN(ROW('03.Muestra'!$D$8:$D$42))+1,""),ROW()-132)),"")</f>
        <v>https://www.comunidad.madrid/hospital/clinicosancarlos/declaracion-accesibilidad</v>
      </c>
      <c r="D148" s="130" t="s">
        <v>28</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377</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https://www.comunidad.madrid/hospital/clinicosancarlos/</v>
      </c>
      <c r="D171" s="130" t="s">
        <v>28</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https://www.comunidad.madrid/hospital/clinicosancarlos/ciudadanos</v>
      </c>
      <c r="D172" s="130" t="s">
        <v>28</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16</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Consultas externas</v>
      </c>
      <c r="C173" s="114" t="str" cm="1">
        <f t="array" ref="C173">IFERROR(INDEX('03.Muestra'!$F$8:$F$42,SMALL(IF("Página Web"='03.Muestra'!$D$8:$D$42,ROW('03.Muestra'!$F$8:$F$42)-MIN(ROW('03.Muestra'!$D$8:$D$42))+1,""),ROW()-170)),"")</f>
        <v>https://www.comunidad.madrid/hospital/clinicosancarlos/ciudadanos/consultas-externas</v>
      </c>
      <c r="D173" s="130" t="s">
        <v>28</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Donación</v>
      </c>
      <c r="C174" s="114" t="str" cm="1">
        <f t="array" ref="C174">IFERROR(INDEX('03.Muestra'!$F$8:$F$42,SMALL(IF("Página Web"='03.Muestra'!$D$8:$D$42,ROW('03.Muestra'!$F$8:$F$42)-MIN(ROW('03.Muestra'!$D$8:$D$42))+1,""),ROW()-170)),"")</f>
        <v>https://www.comunidad.madrid/hospital/clinicosancarlos/ciudadanos/donacion-0</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https://www.comunidad.madrid/hospital/clinicosancarlos/profesionales</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Docencia</v>
      </c>
      <c r="C176" s="114" t="str" cm="1">
        <f t="array" ref="C176">IFERROR(INDEX('03.Muestra'!$F$8:$F$42,SMALL(IF("Página Web"='03.Muestra'!$D$8:$D$42,ROW('03.Muestra'!$F$8:$F$42)-MIN(ROW('03.Muestra'!$D$8:$D$42))+1,""),ROW()-170)),"")</f>
        <v>https://www.comunidad.madrid/hospital/clinicosancarlos/profesionales/docencia</v>
      </c>
      <c r="D176" s="130" t="s">
        <v>28</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Referencia</v>
      </c>
      <c r="C177" s="114" t="str" cm="1">
        <f t="array" ref="C177">IFERROR(INDEX('03.Muestra'!$F$8:$F$42,SMALL(IF("Página Web"='03.Muestra'!$D$8:$D$42,ROW('03.Muestra'!$F$8:$F$42)-MIN(ROW('03.Muestra'!$D$8:$D$42))+1,""),ROW()-170)),"")</f>
        <v>https://www.comunidad.madrid/hospital/clinicosancarlos/profesionales/unidades-referencia-nacional-redes-europeas</v>
      </c>
      <c r="D177" s="130" t="s">
        <v>28</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Comunicación</v>
      </c>
      <c r="C178" s="114" t="str" cm="1">
        <f t="array" ref="C178">IFERROR(INDEX('03.Muestra'!$F$8:$F$42,SMALL(IF("Página Web"='03.Muestra'!$D$8:$D$42,ROW('03.Muestra'!$F$8:$F$42)-MIN(ROW('03.Muestra'!$D$8:$D$42))+1,""),ROW()-170)),"")</f>
        <v>https://www.comunidad.madrid/hospital/clinicosancarlos/comunicacion</v>
      </c>
      <c r="D178" s="130" t="s">
        <v>28</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Videoteca</v>
      </c>
      <c r="C179" s="114" t="str" cm="1">
        <f t="array" ref="C179">IFERROR(INDEX('03.Muestra'!$F$8:$F$42,SMALL(IF("Página Web"='03.Muestra'!$D$8:$D$42,ROW('03.Muestra'!$F$8:$F$42)-MIN(ROW('03.Muestra'!$D$8:$D$42))+1,""),ROW()-170)),"")</f>
        <v>https://www.comunidad.madrid/hospital/clinicosancarlos/comunicacion/videoteca</v>
      </c>
      <c r="D179" s="130" t="s">
        <v>28</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Noticias</v>
      </c>
      <c r="C180" s="114" t="str" cm="1">
        <f t="array" ref="C180">IFERROR(INDEX('03.Muestra'!$F$8:$F$42,SMALL(IF("Página Web"='03.Muestra'!$D$8:$D$42,ROW('03.Muestra'!$F$8:$F$42)-MIN(ROW('03.Muestra'!$D$8:$D$42))+1,""),ROW()-170)),"")</f>
        <v>https://www.comunidad.madrid/hospital/clinicosancarlos/comunicacion/noticias</v>
      </c>
      <c r="D180" s="130" t="s">
        <v>28</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Nosotros</v>
      </c>
      <c r="C181" s="114" t="str" cm="1">
        <f t="array" ref="C181">IFERROR(INDEX('03.Muestra'!$F$8:$F$42,SMALL(IF("Página Web"='03.Muestra'!$D$8:$D$42,ROW('03.Muestra'!$F$8:$F$42)-MIN(ROW('03.Muestra'!$D$8:$D$42))+1,""),ROW()-170)),"")</f>
        <v>https://www.comunidad.madrid/hospital/clinicosancarlos/nosotros</v>
      </c>
      <c r="D181" s="130" t="s">
        <v>28</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Gestión Ambiental</v>
      </c>
      <c r="C182" s="114" t="str" cm="1">
        <f t="array" ref="C182">IFERROR(INDEX('03.Muestra'!$F$8:$F$42,SMALL(IF("Página Web"='03.Muestra'!$D$8:$D$42,ROW('03.Muestra'!$F$8:$F$42)-MIN(ROW('03.Muestra'!$D$8:$D$42))+1,""),ROW()-170)),"")</f>
        <v>https://www.comunidad.madrid/hospital/clinicosancarlos/nosotros/gestion-ambiental</v>
      </c>
      <c r="D182" s="130" t="s">
        <v>28</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Proveedores</v>
      </c>
      <c r="C183" s="114" t="str" cm="1">
        <f t="array" ref="C183">IFERROR(INDEX('03.Muestra'!$F$8:$F$42,SMALL(IF("Página Web"='03.Muestra'!$D$8:$D$42,ROW('03.Muestra'!$F$8:$F$42)-MIN(ROW('03.Muestra'!$D$8:$D$42))+1,""),ROW()-170)),"")</f>
        <v>https://www.comunidad.madrid/hospital/clinicosancarlos/nosotros/proveedores-0</v>
      </c>
      <c r="D183" s="130" t="s">
        <v>28</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Aviso legal</v>
      </c>
      <c r="C184" s="114" t="str" cm="1">
        <f t="array" ref="C184">IFERROR(INDEX('03.Muestra'!$F$8:$F$42,SMALL(IF("Página Web"='03.Muestra'!$D$8:$D$42,ROW('03.Muestra'!$F$8:$F$42)-MIN(ROW('03.Muestra'!$D$8:$D$42))+1,""),ROW()-170)),"")</f>
        <v>https://www.comunidad.madrid/hospital/clinicosancarlos/aviso-legal-privacidad</v>
      </c>
      <c r="D184" s="130" t="s">
        <v>28</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Mapa web</v>
      </c>
      <c r="C185" s="114" t="str" cm="1">
        <f t="array" ref="C185">IFERROR(INDEX('03.Muestra'!$F$8:$F$42,SMALL(IF("Página Web"='03.Muestra'!$D$8:$D$42,ROW('03.Muestra'!$F$8:$F$42)-MIN(ROW('03.Muestra'!$D$8:$D$42))+1,""),ROW()-170)),"")</f>
        <v>https://www.comunidad.madrid/hospital/clinicosancarlos/sitemap</v>
      </c>
      <c r="D185" s="130" t="s">
        <v>28</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Accesibilidad</v>
      </c>
      <c r="C186" s="114" t="str" cm="1">
        <f t="array" ref="C186">IFERROR(INDEX('03.Muestra'!$F$8:$F$42,SMALL(IF("Página Web"='03.Muestra'!$D$8:$D$42,ROW('03.Muestra'!$F$8:$F$42)-MIN(ROW('03.Muestra'!$D$8:$D$42))+1,""),ROW()-170)),"")</f>
        <v>https://www.comunidad.madrid/hospital/clinicosancarlos/declaracion-accesibilidad</v>
      </c>
      <c r="D186" s="130" t="s">
        <v>28</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268</v>
      </c>
      <c r="B208" s="24" t="s">
        <v>90</v>
      </c>
      <c r="C208" s="25" t="s">
        <v>378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https://www.comunidad.madrid/hospital/clinicosancarlos/</v>
      </c>
      <c r="D209" s="130" t="s">
        <v>28</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https://www.comunidad.madrid/hospital/clinicosancarlos/ciudadanos</v>
      </c>
      <c r="D210" s="130" t="s">
        <v>28</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15</v>
      </c>
      <c r="J210" s="120">
        <f ca="1">COUNTIF($D209:INDIRECT("$D" &amp;  SUM(ROW()-1,'03.Muestra'!$D$45)-1),J209)</f>
        <v>1</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Consultas externas</v>
      </c>
      <c r="C211" s="114" t="str" cm="1">
        <f t="array" ref="C211">IFERROR(INDEX('03.Muestra'!$F$8:$F$42,SMALL(IF("Página Web"='03.Muestra'!$D$8:$D$42,ROW('03.Muestra'!$F$8:$F$42)-MIN(ROW('03.Muestra'!$D$8:$D$42))+1,""),ROW()-208)),"")</f>
        <v>https://www.comunidad.madrid/hospital/clinicosancarlos/ciudadanos/consultas-externas</v>
      </c>
      <c r="D211" s="130" t="s">
        <v>28</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Donación</v>
      </c>
      <c r="C212" s="114" t="str" cm="1">
        <f t="array" ref="C212">IFERROR(INDEX('03.Muestra'!$F$8:$F$42,SMALL(IF("Página Web"='03.Muestra'!$D$8:$D$42,ROW('03.Muestra'!$F$8:$F$42)-MIN(ROW('03.Muestra'!$D$8:$D$42))+1,""),ROW()-208)),"")</f>
        <v>https://www.comunidad.madrid/hospital/clinicosancarlos/ciudadanos/donacion-0</v>
      </c>
      <c r="D212" s="130" t="s">
        <v>28</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Profesionales</v>
      </c>
      <c r="C213" s="114" t="str" cm="1">
        <f t="array" ref="C213">IFERROR(INDEX('03.Muestra'!$F$8:$F$42,SMALL(IF("Página Web"='03.Muestra'!$D$8:$D$42,ROW('03.Muestra'!$F$8:$F$42)-MIN(ROW('03.Muestra'!$D$8:$D$42))+1,""),ROW()-208)),"")</f>
        <v>https://www.comunidad.madrid/hospital/clinicosancarlos/profesionales</v>
      </c>
      <c r="D213" s="130" t="s">
        <v>28</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Docencia</v>
      </c>
      <c r="C214" s="114" t="str" cm="1">
        <f t="array" ref="C214">IFERROR(INDEX('03.Muestra'!$F$8:$F$42,SMALL(IF("Página Web"='03.Muestra'!$D$8:$D$42,ROW('03.Muestra'!$F$8:$F$42)-MIN(ROW('03.Muestra'!$D$8:$D$42))+1,""),ROW()-208)),"")</f>
        <v>https://www.comunidad.madrid/hospital/clinicosancarlos/profesionales/docencia</v>
      </c>
      <c r="D214" s="130" t="s">
        <v>28</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Referencia</v>
      </c>
      <c r="C215" s="114" t="str" cm="1">
        <f t="array" ref="C215">IFERROR(INDEX('03.Muestra'!$F$8:$F$42,SMALL(IF("Página Web"='03.Muestra'!$D$8:$D$42,ROW('03.Muestra'!$F$8:$F$42)-MIN(ROW('03.Muestra'!$D$8:$D$42))+1,""),ROW()-208)),"")</f>
        <v>https://www.comunidad.madrid/hospital/clinicosancarlos/profesionales/unidades-referencia-nacional-redes-europeas</v>
      </c>
      <c r="D215" s="130" t="s">
        <v>26</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Comunicación</v>
      </c>
      <c r="C216" s="114" t="str" cm="1">
        <f t="array" ref="C216">IFERROR(INDEX('03.Muestra'!$F$8:$F$42,SMALL(IF("Página Web"='03.Muestra'!$D$8:$D$42,ROW('03.Muestra'!$F$8:$F$42)-MIN(ROW('03.Muestra'!$D$8:$D$42))+1,""),ROW()-208)),"")</f>
        <v>https://www.comunidad.madrid/hospital/clinicosancarlos/comunicacion</v>
      </c>
      <c r="D216" s="130" t="s">
        <v>28</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Videoteca</v>
      </c>
      <c r="C217" s="114" t="str" cm="1">
        <f t="array" ref="C217">IFERROR(INDEX('03.Muestra'!$F$8:$F$42,SMALL(IF("Página Web"='03.Muestra'!$D$8:$D$42,ROW('03.Muestra'!$F$8:$F$42)-MIN(ROW('03.Muestra'!$D$8:$D$42))+1,""),ROW()-208)),"")</f>
        <v>https://www.comunidad.madrid/hospital/clinicosancarlos/comunicacion/videoteca</v>
      </c>
      <c r="D217" s="130" t="s">
        <v>28</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Noticias</v>
      </c>
      <c r="C218" s="114" t="str" cm="1">
        <f t="array" ref="C218">IFERROR(INDEX('03.Muestra'!$F$8:$F$42,SMALL(IF("Página Web"='03.Muestra'!$D$8:$D$42,ROW('03.Muestra'!$F$8:$F$42)-MIN(ROW('03.Muestra'!$D$8:$D$42))+1,""),ROW()-208)),"")</f>
        <v>https://www.comunidad.madrid/hospital/clinicosancarlos/comunicacion/noticias</v>
      </c>
      <c r="D218" s="130" t="s">
        <v>28</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Nosotros</v>
      </c>
      <c r="C219" s="114" t="str" cm="1">
        <f t="array" ref="C219">IFERROR(INDEX('03.Muestra'!$F$8:$F$42,SMALL(IF("Página Web"='03.Muestra'!$D$8:$D$42,ROW('03.Muestra'!$F$8:$F$42)-MIN(ROW('03.Muestra'!$D$8:$D$42))+1,""),ROW()-208)),"")</f>
        <v>https://www.comunidad.madrid/hospital/clinicosancarlos/nosotros</v>
      </c>
      <c r="D219" s="130" t="s">
        <v>28</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Gestión Ambiental</v>
      </c>
      <c r="C220" s="114" t="str" cm="1">
        <f t="array" ref="C220">IFERROR(INDEX('03.Muestra'!$F$8:$F$42,SMALL(IF("Página Web"='03.Muestra'!$D$8:$D$42,ROW('03.Muestra'!$F$8:$F$42)-MIN(ROW('03.Muestra'!$D$8:$D$42))+1,""),ROW()-208)),"")</f>
        <v>https://www.comunidad.madrid/hospital/clinicosancarlos/nosotros/gestion-ambiental</v>
      </c>
      <c r="D220" s="130" t="s">
        <v>28</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Proveedores</v>
      </c>
      <c r="C221" s="114" t="str" cm="1">
        <f t="array" ref="C221">IFERROR(INDEX('03.Muestra'!$F$8:$F$42,SMALL(IF("Página Web"='03.Muestra'!$D$8:$D$42,ROW('03.Muestra'!$F$8:$F$42)-MIN(ROW('03.Muestra'!$D$8:$D$42))+1,""),ROW()-208)),"")</f>
        <v>https://www.comunidad.madrid/hospital/clinicosancarlos/nosotros/proveedores-0</v>
      </c>
      <c r="D221" s="130" t="s">
        <v>28</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Aviso legal</v>
      </c>
      <c r="C222" s="114" t="str" cm="1">
        <f t="array" ref="C222">IFERROR(INDEX('03.Muestra'!$F$8:$F$42,SMALL(IF("Página Web"='03.Muestra'!$D$8:$D$42,ROW('03.Muestra'!$F$8:$F$42)-MIN(ROW('03.Muestra'!$D$8:$D$42))+1,""),ROW()-208)),"")</f>
        <v>https://www.comunidad.madrid/hospital/clinicosancarlos/aviso-legal-privacidad</v>
      </c>
      <c r="D222" s="130" t="s">
        <v>28</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Mapa web</v>
      </c>
      <c r="C223" s="114" t="str" cm="1">
        <f t="array" ref="C223">IFERROR(INDEX('03.Muestra'!$F$8:$F$42,SMALL(IF("Página Web"='03.Muestra'!$D$8:$D$42,ROW('03.Muestra'!$F$8:$F$42)-MIN(ROW('03.Muestra'!$D$8:$D$42))+1,""),ROW()-208)),"")</f>
        <v>https://www.comunidad.madrid/hospital/clinicosancarlos/sitemap</v>
      </c>
      <c r="D223" s="130" t="s">
        <v>28</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Accesibilidad</v>
      </c>
      <c r="C224" s="114" t="str" cm="1">
        <f t="array" ref="C224">IFERROR(INDEX('03.Muestra'!$F$8:$F$42,SMALL(IF("Página Web"='03.Muestra'!$D$8:$D$42,ROW('03.Muestra'!$F$8:$F$42)-MIN(ROW('03.Muestra'!$D$8:$D$42))+1,""),ROW()-208)),"")</f>
        <v>https://www.comunidad.madrid/hospital/clinicosancarlos/declaracion-accesibilidad</v>
      </c>
      <c r="D224" s="130" t="s">
        <v>28</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268</v>
      </c>
      <c r="B246" s="24" t="s">
        <v>90</v>
      </c>
      <c r="C246" s="25" t="s">
        <v>379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https://www.comunidad.madrid/hospital/clinicosancarlos/</v>
      </c>
      <c r="D247" s="130" t="s">
        <v>26</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https://www.comunidad.madrid/hospital/clinicosancarlos/ciudadanos</v>
      </c>
      <c r="D248" s="130" t="s">
        <v>26</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16</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Consultas externas</v>
      </c>
      <c r="C249" s="114" t="str" cm="1">
        <f t="array" ref="C249">IFERROR(INDEX('03.Muestra'!$F$8:$F$42,SMALL(IF("Página Web"='03.Muestra'!$D$8:$D$42,ROW('03.Muestra'!$F$8:$F$42)-MIN(ROW('03.Muestra'!$D$8:$D$42))+1,""),ROW()-246)),"")</f>
        <v>https://www.comunidad.madrid/hospital/clinicosancarlos/ciudadanos/consultas-externas</v>
      </c>
      <c r="D249" s="130" t="s">
        <v>26</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Donación</v>
      </c>
      <c r="C250" s="114" t="str" cm="1">
        <f t="array" ref="C250">IFERROR(INDEX('03.Muestra'!$F$8:$F$42,SMALL(IF("Página Web"='03.Muestra'!$D$8:$D$42,ROW('03.Muestra'!$F$8:$F$42)-MIN(ROW('03.Muestra'!$D$8:$D$42))+1,""),ROW()-246)),"")</f>
        <v>https://www.comunidad.madrid/hospital/clinicosancarlos/ciudadanos/donacion-0</v>
      </c>
      <c r="D250" s="130" t="s">
        <v>26</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Profesionales</v>
      </c>
      <c r="C251" s="114" t="str" cm="1">
        <f t="array" ref="C251">IFERROR(INDEX('03.Muestra'!$F$8:$F$42,SMALL(IF("Página Web"='03.Muestra'!$D$8:$D$42,ROW('03.Muestra'!$F$8:$F$42)-MIN(ROW('03.Muestra'!$D$8:$D$42))+1,""),ROW()-246)),"")</f>
        <v>https://www.comunidad.madrid/hospital/clinicosancarlos/profesionales</v>
      </c>
      <c r="D251" s="130" t="s">
        <v>26</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Docencia</v>
      </c>
      <c r="C252" s="114" t="str" cm="1">
        <f t="array" ref="C252">IFERROR(INDEX('03.Muestra'!$F$8:$F$42,SMALL(IF("Página Web"='03.Muestra'!$D$8:$D$42,ROW('03.Muestra'!$F$8:$F$42)-MIN(ROW('03.Muestra'!$D$8:$D$42))+1,""),ROW()-246)),"")</f>
        <v>https://www.comunidad.madrid/hospital/clinicosancarlos/profesionales/docencia</v>
      </c>
      <c r="D252" s="130" t="s">
        <v>26</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Referencia</v>
      </c>
      <c r="C253" s="114" t="str" cm="1">
        <f t="array" ref="C253">IFERROR(INDEX('03.Muestra'!$F$8:$F$42,SMALL(IF("Página Web"='03.Muestra'!$D$8:$D$42,ROW('03.Muestra'!$F$8:$F$42)-MIN(ROW('03.Muestra'!$D$8:$D$42))+1,""),ROW()-246)),"")</f>
        <v>https://www.comunidad.madrid/hospital/clinicosancarlos/profesionales/unidades-referencia-nacional-redes-europeas</v>
      </c>
      <c r="D253" s="130" t="s">
        <v>26</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Comunicación</v>
      </c>
      <c r="C254" s="114" t="str" cm="1">
        <f t="array" ref="C254">IFERROR(INDEX('03.Muestra'!$F$8:$F$42,SMALL(IF("Página Web"='03.Muestra'!$D$8:$D$42,ROW('03.Muestra'!$F$8:$F$42)-MIN(ROW('03.Muestra'!$D$8:$D$42))+1,""),ROW()-246)),"")</f>
        <v>https://www.comunidad.madrid/hospital/clinicosancarlos/comunicacion</v>
      </c>
      <c r="D254" s="130" t="s">
        <v>26</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Videoteca</v>
      </c>
      <c r="C255" s="114" t="str" cm="1">
        <f t="array" ref="C255">IFERROR(INDEX('03.Muestra'!$F$8:$F$42,SMALL(IF("Página Web"='03.Muestra'!$D$8:$D$42,ROW('03.Muestra'!$F$8:$F$42)-MIN(ROW('03.Muestra'!$D$8:$D$42))+1,""),ROW()-246)),"")</f>
        <v>https://www.comunidad.madrid/hospital/clinicosancarlos/comunicacion/videoteca</v>
      </c>
      <c r="D255" s="130" t="s">
        <v>26</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Noticias</v>
      </c>
      <c r="C256" s="114" t="str" cm="1">
        <f t="array" ref="C256">IFERROR(INDEX('03.Muestra'!$F$8:$F$42,SMALL(IF("Página Web"='03.Muestra'!$D$8:$D$42,ROW('03.Muestra'!$F$8:$F$42)-MIN(ROW('03.Muestra'!$D$8:$D$42))+1,""),ROW()-246)),"")</f>
        <v>https://www.comunidad.madrid/hospital/clinicosancarlos/comunicacion/noticias</v>
      </c>
      <c r="D256" s="130" t="s">
        <v>26</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Nosotros</v>
      </c>
      <c r="C257" s="114" t="str" cm="1">
        <f t="array" ref="C257">IFERROR(INDEX('03.Muestra'!$F$8:$F$42,SMALL(IF("Página Web"='03.Muestra'!$D$8:$D$42,ROW('03.Muestra'!$F$8:$F$42)-MIN(ROW('03.Muestra'!$D$8:$D$42))+1,""),ROW()-246)),"")</f>
        <v>https://www.comunidad.madrid/hospital/clinicosancarlos/nosotros</v>
      </c>
      <c r="D257" s="130" t="s">
        <v>26</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Gestión Ambiental</v>
      </c>
      <c r="C258" s="114" t="str" cm="1">
        <f t="array" ref="C258">IFERROR(INDEX('03.Muestra'!$F$8:$F$42,SMALL(IF("Página Web"='03.Muestra'!$D$8:$D$42,ROW('03.Muestra'!$F$8:$F$42)-MIN(ROW('03.Muestra'!$D$8:$D$42))+1,""),ROW()-246)),"")</f>
        <v>https://www.comunidad.madrid/hospital/clinicosancarlos/nosotros/gestion-ambiental</v>
      </c>
      <c r="D258" s="130" t="s">
        <v>26</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Proveedores</v>
      </c>
      <c r="C259" s="114" t="str" cm="1">
        <f t="array" ref="C259">IFERROR(INDEX('03.Muestra'!$F$8:$F$42,SMALL(IF("Página Web"='03.Muestra'!$D$8:$D$42,ROW('03.Muestra'!$F$8:$F$42)-MIN(ROW('03.Muestra'!$D$8:$D$42))+1,""),ROW()-246)),"")</f>
        <v>https://www.comunidad.madrid/hospital/clinicosancarlos/nosotros/proveedores-0</v>
      </c>
      <c r="D259" s="130" t="s">
        <v>26</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Aviso legal</v>
      </c>
      <c r="C260" s="114" t="str" cm="1">
        <f t="array" ref="C260">IFERROR(INDEX('03.Muestra'!$F$8:$F$42,SMALL(IF("Página Web"='03.Muestra'!$D$8:$D$42,ROW('03.Muestra'!$F$8:$F$42)-MIN(ROW('03.Muestra'!$D$8:$D$42))+1,""),ROW()-246)),"")</f>
        <v>https://www.comunidad.madrid/hospital/clinicosancarlos/aviso-legal-privacidad</v>
      </c>
      <c r="D260" s="130" t="s">
        <v>26</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Mapa web</v>
      </c>
      <c r="C261" s="114" t="str" cm="1">
        <f t="array" ref="C261">IFERROR(INDEX('03.Muestra'!$F$8:$F$42,SMALL(IF("Página Web"='03.Muestra'!$D$8:$D$42,ROW('03.Muestra'!$F$8:$F$42)-MIN(ROW('03.Muestra'!$D$8:$D$42))+1,""),ROW()-246)),"")</f>
        <v>https://www.comunidad.madrid/hospital/clinicosancarlos/sitemap</v>
      </c>
      <c r="D261" s="130" t="s">
        <v>26</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Accesibilidad</v>
      </c>
      <c r="C262" s="114" t="str" cm="1">
        <f t="array" ref="C262">IFERROR(INDEX('03.Muestra'!$F$8:$F$42,SMALL(IF("Página Web"='03.Muestra'!$D$8:$D$42,ROW('03.Muestra'!$F$8:$F$42)-MIN(ROW('03.Muestra'!$D$8:$D$42))+1,""),ROW()-246)),"")</f>
        <v>https://www.comunidad.madrid/hospital/clinicosancarlos/declaracion-accesibilidad</v>
      </c>
      <c r="D262" s="130" t="s">
        <v>26</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268</v>
      </c>
      <c r="B284" s="24" t="s">
        <v>90</v>
      </c>
      <c r="C284" s="25" t="s">
        <v>380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https://www.comunidad.madrid/hospital/clinicosancarlos/</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https://www.comunidad.madrid/hospital/clinicosancarlos/ciudadanos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Consultas externas</v>
      </c>
      <c r="C287" s="114" t="str" cm="1">
        <f t="array" ref="C287">IFERROR(INDEX('03.Muestra'!$F$8:$F$42,SMALL(IF("Página Web"='03.Muestra'!$D$8:$D$42,ROW('03.Muestra'!$F$8:$F$42)-MIN(ROW('03.Muestra'!$D$8:$D$42))+1,""),ROW()-284)),"")</f>
        <v>https://www.comunidad.madrid/hospital/clinicosancarlos/ciudadanos/consultas-externas</v>
      </c>
      <c r="D287" s="130" t="s">
        <v>35</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Donación</v>
      </c>
      <c r="C288" s="114" t="str" cm="1">
        <f t="array" ref="C288">IFERROR(INDEX('03.Muestra'!$F$8:$F$42,SMALL(IF("Página Web"='03.Muestra'!$D$8:$D$42,ROW('03.Muestra'!$F$8:$F$42)-MIN(ROW('03.Muestra'!$D$8:$D$42))+1,""),ROW()-284)),"")</f>
        <v>https://www.comunidad.madrid/hospital/clinicosancarlos/ciudadanos/donacion-0</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Profesionales</v>
      </c>
      <c r="C289" s="114" t="str" cm="1">
        <f t="array" ref="C289">IFERROR(INDEX('03.Muestra'!$F$8:$F$42,SMALL(IF("Página Web"='03.Muestra'!$D$8:$D$42,ROW('03.Muestra'!$F$8:$F$42)-MIN(ROW('03.Muestra'!$D$8:$D$42))+1,""),ROW()-284)),"")</f>
        <v>https://www.comunidad.madrid/hospital/clinicosancarlos/profesionales</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Docencia</v>
      </c>
      <c r="C290" s="114" t="str" cm="1">
        <f t="array" ref="C290">IFERROR(INDEX('03.Muestra'!$F$8:$F$42,SMALL(IF("Página Web"='03.Muestra'!$D$8:$D$42,ROW('03.Muestra'!$F$8:$F$42)-MIN(ROW('03.Muestra'!$D$8:$D$42))+1,""),ROW()-284)),"")</f>
        <v>https://www.comunidad.madrid/hospital/clinicosancarlos/profesionales/docencia</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Referencia</v>
      </c>
      <c r="C291" s="114" t="str" cm="1">
        <f t="array" ref="C291">IFERROR(INDEX('03.Muestra'!$F$8:$F$42,SMALL(IF("Página Web"='03.Muestra'!$D$8:$D$42,ROW('03.Muestra'!$F$8:$F$42)-MIN(ROW('03.Muestra'!$D$8:$D$42))+1,""),ROW()-284)),"")</f>
        <v>https://www.comunidad.madrid/hospital/clinicosancarlos/profesionales/unidades-referencia-nacional-redes-europeas</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Comunicación</v>
      </c>
      <c r="C292" s="114" t="str" cm="1">
        <f t="array" ref="C292">IFERROR(INDEX('03.Muestra'!$F$8:$F$42,SMALL(IF("Página Web"='03.Muestra'!$D$8:$D$42,ROW('03.Muestra'!$F$8:$F$42)-MIN(ROW('03.Muestra'!$D$8:$D$42))+1,""),ROW()-284)),"")</f>
        <v>https://www.comunidad.madrid/hospital/clinicosancarlos/comunicacion</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Videoteca</v>
      </c>
      <c r="C293" s="114" t="str" cm="1">
        <f t="array" ref="C293">IFERROR(INDEX('03.Muestra'!$F$8:$F$42,SMALL(IF("Página Web"='03.Muestra'!$D$8:$D$42,ROW('03.Muestra'!$F$8:$F$42)-MIN(ROW('03.Muestra'!$D$8:$D$42))+1,""),ROW()-284)),"")</f>
        <v>https://www.comunidad.madrid/hospital/clinicosancarlos/comunicacion/videoteca</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Noticias</v>
      </c>
      <c r="C294" s="114" t="str" cm="1">
        <f t="array" ref="C294">IFERROR(INDEX('03.Muestra'!$F$8:$F$42,SMALL(IF("Página Web"='03.Muestra'!$D$8:$D$42,ROW('03.Muestra'!$F$8:$F$42)-MIN(ROW('03.Muestra'!$D$8:$D$42))+1,""),ROW()-284)),"")</f>
        <v>https://www.comunidad.madrid/hospital/clinicosancarlos/comunicacion/noticias</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Nosotros</v>
      </c>
      <c r="C295" s="114" t="str" cm="1">
        <f t="array" ref="C295">IFERROR(INDEX('03.Muestra'!$F$8:$F$42,SMALL(IF("Página Web"='03.Muestra'!$D$8:$D$42,ROW('03.Muestra'!$F$8:$F$42)-MIN(ROW('03.Muestra'!$D$8:$D$42))+1,""),ROW()-284)),"")</f>
        <v>https://www.comunidad.madrid/hospital/clinicosancarlos/nosotros</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Gestión Ambiental</v>
      </c>
      <c r="C296" s="114" t="str" cm="1">
        <f t="array" ref="C296">IFERROR(INDEX('03.Muestra'!$F$8:$F$42,SMALL(IF("Página Web"='03.Muestra'!$D$8:$D$42,ROW('03.Muestra'!$F$8:$F$42)-MIN(ROW('03.Muestra'!$D$8:$D$42))+1,""),ROW()-284)),"")</f>
        <v>https://www.comunidad.madrid/hospital/clinicosancarlos/nosotros/gestion-ambiental</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Proveedores</v>
      </c>
      <c r="C297" s="114" t="str" cm="1">
        <f t="array" ref="C297">IFERROR(INDEX('03.Muestra'!$F$8:$F$42,SMALL(IF("Página Web"='03.Muestra'!$D$8:$D$42,ROW('03.Muestra'!$F$8:$F$42)-MIN(ROW('03.Muestra'!$D$8:$D$42))+1,""),ROW()-284)),"")</f>
        <v>https://www.comunidad.madrid/hospital/clinicosancarlos/nosotros/proveedores-0</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Aviso legal</v>
      </c>
      <c r="C298" s="114" t="str" cm="1">
        <f t="array" ref="C298">IFERROR(INDEX('03.Muestra'!$F$8:$F$42,SMALL(IF("Página Web"='03.Muestra'!$D$8:$D$42,ROW('03.Muestra'!$F$8:$F$42)-MIN(ROW('03.Muestra'!$D$8:$D$42))+1,""),ROW()-284)),"")</f>
        <v>https://www.comunidad.madrid/hospital/clinicosancarlos/aviso-legal-privacidad</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Mapa web</v>
      </c>
      <c r="C299" s="114" t="str" cm="1">
        <f t="array" ref="C299">IFERROR(INDEX('03.Muestra'!$F$8:$F$42,SMALL(IF("Página Web"='03.Muestra'!$D$8:$D$42,ROW('03.Muestra'!$F$8:$F$42)-MIN(ROW('03.Muestra'!$D$8:$D$42))+1,""),ROW()-284)),"")</f>
        <v>https://www.comunidad.madrid/hospital/clinicosancarlos/sitemap</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Accesibilidad</v>
      </c>
      <c r="C300" s="114" t="str" cm="1">
        <f t="array" ref="C300">IFERROR(INDEX('03.Muestra'!$F$8:$F$42,SMALL(IF("Página Web"='03.Muestra'!$D$8:$D$42,ROW('03.Muestra'!$F$8:$F$42)-MIN(ROW('03.Muestra'!$D$8:$D$42))+1,""),ROW()-284)),"")</f>
        <v>https://www.comunidad.madrid/hospital/clinicosancarlos/declaracion-accesibilidad</v>
      </c>
      <c r="D300" s="130" t="s">
        <v>35</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268</v>
      </c>
      <c r="B322" s="24" t="s">
        <v>90</v>
      </c>
      <c r="C322" s="25" t="s">
        <v>381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https://www.comunidad.madrid/hospital/clinicosancarlos/</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https://www.comunidad.madrid/hospital/clinicosancarlos/ciudadanos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Consultas externas</v>
      </c>
      <c r="C325" s="114" t="str" cm="1">
        <f t="array" ref="C325">IFERROR(INDEX('03.Muestra'!$F$8:$F$42,SMALL(IF("Página Web"='03.Muestra'!$D$8:$D$42,ROW('03.Muestra'!$F$8:$F$42)-MIN(ROW('03.Muestra'!$D$8:$D$42))+1,""),ROW()-322)),"")</f>
        <v>https://www.comunidad.madrid/hospital/clinicosancarlos/ciudadanos/consultas-externas</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Donación</v>
      </c>
      <c r="C326" s="114" t="str" cm="1">
        <f t="array" ref="C326">IFERROR(INDEX('03.Muestra'!$F$8:$F$42,SMALL(IF("Página Web"='03.Muestra'!$D$8:$D$42,ROW('03.Muestra'!$F$8:$F$42)-MIN(ROW('03.Muestra'!$D$8:$D$42))+1,""),ROW()-322)),"")</f>
        <v>https://www.comunidad.madrid/hospital/clinicosancarlos/ciudadanos/donacion-0</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Profesionales</v>
      </c>
      <c r="C327" s="114" t="str" cm="1">
        <f t="array" ref="C327">IFERROR(INDEX('03.Muestra'!$F$8:$F$42,SMALL(IF("Página Web"='03.Muestra'!$D$8:$D$42,ROW('03.Muestra'!$F$8:$F$42)-MIN(ROW('03.Muestra'!$D$8:$D$42))+1,""),ROW()-322)),"")</f>
        <v>https://www.comunidad.madrid/hospital/clinicosancarlos/profesionales</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Docencia</v>
      </c>
      <c r="C328" s="114" t="str" cm="1">
        <f t="array" ref="C328">IFERROR(INDEX('03.Muestra'!$F$8:$F$42,SMALL(IF("Página Web"='03.Muestra'!$D$8:$D$42,ROW('03.Muestra'!$F$8:$F$42)-MIN(ROW('03.Muestra'!$D$8:$D$42))+1,""),ROW()-322)),"")</f>
        <v>https://www.comunidad.madrid/hospital/clinicosancarlos/profesionales/docencia</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Referencia</v>
      </c>
      <c r="C329" s="114" t="str" cm="1">
        <f t="array" ref="C329">IFERROR(INDEX('03.Muestra'!$F$8:$F$42,SMALL(IF("Página Web"='03.Muestra'!$D$8:$D$42,ROW('03.Muestra'!$F$8:$F$42)-MIN(ROW('03.Muestra'!$D$8:$D$42))+1,""),ROW()-322)),"")</f>
        <v>https://www.comunidad.madrid/hospital/clinicosancarlos/profesionales/unidades-referencia-nacional-redes-europeas</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Comunicación</v>
      </c>
      <c r="C330" s="114" t="str" cm="1">
        <f t="array" ref="C330">IFERROR(INDEX('03.Muestra'!$F$8:$F$42,SMALL(IF("Página Web"='03.Muestra'!$D$8:$D$42,ROW('03.Muestra'!$F$8:$F$42)-MIN(ROW('03.Muestra'!$D$8:$D$42))+1,""),ROW()-322)),"")</f>
        <v>https://www.comunidad.madrid/hospital/clinicosancarlos/comunicacion</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Videoteca</v>
      </c>
      <c r="C331" s="114" t="str" cm="1">
        <f t="array" ref="C331">IFERROR(INDEX('03.Muestra'!$F$8:$F$42,SMALL(IF("Página Web"='03.Muestra'!$D$8:$D$42,ROW('03.Muestra'!$F$8:$F$42)-MIN(ROW('03.Muestra'!$D$8:$D$42))+1,""),ROW()-322)),"")</f>
        <v>https://www.comunidad.madrid/hospital/clinicosancarlos/comunicacion/videoteca</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Noticias</v>
      </c>
      <c r="C332" s="114" t="str" cm="1">
        <f t="array" ref="C332">IFERROR(INDEX('03.Muestra'!$F$8:$F$42,SMALL(IF("Página Web"='03.Muestra'!$D$8:$D$42,ROW('03.Muestra'!$F$8:$F$42)-MIN(ROW('03.Muestra'!$D$8:$D$42))+1,""),ROW()-322)),"")</f>
        <v>https://www.comunidad.madrid/hospital/clinicosancarlos/comunicacion/noticias</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Nosotros</v>
      </c>
      <c r="C333" s="114" t="str" cm="1">
        <f t="array" ref="C333">IFERROR(INDEX('03.Muestra'!$F$8:$F$42,SMALL(IF("Página Web"='03.Muestra'!$D$8:$D$42,ROW('03.Muestra'!$F$8:$F$42)-MIN(ROW('03.Muestra'!$D$8:$D$42))+1,""),ROW()-322)),"")</f>
        <v>https://www.comunidad.madrid/hospital/clinicosancarlos/nosotros</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Gestión Ambiental</v>
      </c>
      <c r="C334" s="114" t="str" cm="1">
        <f t="array" ref="C334">IFERROR(INDEX('03.Muestra'!$F$8:$F$42,SMALL(IF("Página Web"='03.Muestra'!$D$8:$D$42,ROW('03.Muestra'!$F$8:$F$42)-MIN(ROW('03.Muestra'!$D$8:$D$42))+1,""),ROW()-322)),"")</f>
        <v>https://www.comunidad.madrid/hospital/clinicosancarlos/nosotros/gestion-ambiental</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Proveedores</v>
      </c>
      <c r="C335" s="114" t="str" cm="1">
        <f t="array" ref="C335">IFERROR(INDEX('03.Muestra'!$F$8:$F$42,SMALL(IF("Página Web"='03.Muestra'!$D$8:$D$42,ROW('03.Muestra'!$F$8:$F$42)-MIN(ROW('03.Muestra'!$D$8:$D$42))+1,""),ROW()-322)),"")</f>
        <v>https://www.comunidad.madrid/hospital/clinicosancarlos/nosotros/proveedores-0</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Aviso legal</v>
      </c>
      <c r="C336" s="114" t="str" cm="1">
        <f t="array" ref="C336">IFERROR(INDEX('03.Muestra'!$F$8:$F$42,SMALL(IF("Página Web"='03.Muestra'!$D$8:$D$42,ROW('03.Muestra'!$F$8:$F$42)-MIN(ROW('03.Muestra'!$D$8:$D$42))+1,""),ROW()-322)),"")</f>
        <v>https://www.comunidad.madrid/hospital/clinicosancarlos/aviso-legal-privacidad</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Mapa web</v>
      </c>
      <c r="C337" s="114" t="str" cm="1">
        <f t="array" ref="C337">IFERROR(INDEX('03.Muestra'!$F$8:$F$42,SMALL(IF("Página Web"='03.Muestra'!$D$8:$D$42,ROW('03.Muestra'!$F$8:$F$42)-MIN(ROW('03.Muestra'!$D$8:$D$42))+1,""),ROW()-322)),"")</f>
        <v>https://www.comunidad.madrid/hospital/clinicosancarlos/sitemap</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Accesibilidad</v>
      </c>
      <c r="C338" s="114" t="str" cm="1">
        <f t="array" ref="C338">IFERROR(INDEX('03.Muestra'!$F$8:$F$42,SMALL(IF("Página Web"='03.Muestra'!$D$8:$D$42,ROW('03.Muestra'!$F$8:$F$42)-MIN(ROW('03.Muestra'!$D$8:$D$42))+1,""),ROW()-322)),"")</f>
        <v>https://www.comunidad.madrid/hospital/clinicosancarlos/declaracion-accesibilidad</v>
      </c>
      <c r="D338" s="130" t="s">
        <v>35</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268</v>
      </c>
      <c r="B360" s="24" t="s">
        <v>90</v>
      </c>
      <c r="C360" s="25" t="s">
        <v>382</v>
      </c>
      <c r="D360" s="26" t="s">
        <v>32</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https://www.comunidad.madrid/hospital/clinicosancarlos/</v>
      </c>
      <c r="D361" s="246" t="s">
        <v>35</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https://www.comunidad.madrid/hospital/clinicosancarlos/ciudadanos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16</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Consultas externas</v>
      </c>
      <c r="C363" s="114" t="str" cm="1">
        <f t="array" ref="C363">IFERROR(INDEX('03.Muestra'!$F$8:$F$42,SMALL(IF("Página Web"='03.Muestra'!$D$8:$D$42,ROW('03.Muestra'!$F$8:$F$42)-MIN(ROW('03.Muestra'!$D$8:$D$42))+1,""),ROW()-360)),"")</f>
        <v>https://www.comunidad.madrid/hospital/clinicosancarlos/ciudadanos/consultas-externas</v>
      </c>
      <c r="D363" s="130" t="s">
        <v>35</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Donación</v>
      </c>
      <c r="C364" s="114" t="str" cm="1">
        <f t="array" ref="C364">IFERROR(INDEX('03.Muestra'!$F$8:$F$42,SMALL(IF("Página Web"='03.Muestra'!$D$8:$D$42,ROW('03.Muestra'!$F$8:$F$42)-MIN(ROW('03.Muestra'!$D$8:$D$42))+1,""),ROW()-360)),"")</f>
        <v>https://www.comunidad.madrid/hospital/clinicosancarlos/ciudadanos/donacion-0</v>
      </c>
      <c r="D364" s="130" t="s">
        <v>35</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Profesionales</v>
      </c>
      <c r="C365" s="114" t="str" cm="1">
        <f t="array" ref="C365">IFERROR(INDEX('03.Muestra'!$F$8:$F$42,SMALL(IF("Página Web"='03.Muestra'!$D$8:$D$42,ROW('03.Muestra'!$F$8:$F$42)-MIN(ROW('03.Muestra'!$D$8:$D$42))+1,""),ROW()-360)),"")</f>
        <v>https://www.comunidad.madrid/hospital/clinicosancarlos/profesionales</v>
      </c>
      <c r="D365" s="130" t="s">
        <v>35</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Docencia</v>
      </c>
      <c r="C366" s="114" t="str" cm="1">
        <f t="array" ref="C366">IFERROR(INDEX('03.Muestra'!$F$8:$F$42,SMALL(IF("Página Web"='03.Muestra'!$D$8:$D$42,ROW('03.Muestra'!$F$8:$F$42)-MIN(ROW('03.Muestra'!$D$8:$D$42))+1,""),ROW()-360)),"")</f>
        <v>https://www.comunidad.madrid/hospital/clinicosancarlos/profesionales/docencia</v>
      </c>
      <c r="D366" s="130" t="s">
        <v>35</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Referencia</v>
      </c>
      <c r="C367" s="114" t="str" cm="1">
        <f t="array" ref="C367">IFERROR(INDEX('03.Muestra'!$F$8:$F$42,SMALL(IF("Página Web"='03.Muestra'!$D$8:$D$42,ROW('03.Muestra'!$F$8:$F$42)-MIN(ROW('03.Muestra'!$D$8:$D$42))+1,""),ROW()-360)),"")</f>
        <v>https://www.comunidad.madrid/hospital/clinicosancarlos/profesionales/unidades-referencia-nacional-redes-europeas</v>
      </c>
      <c r="D367" s="130" t="s">
        <v>35</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Comunicación</v>
      </c>
      <c r="C368" s="114" t="str" cm="1">
        <f t="array" ref="C368">IFERROR(INDEX('03.Muestra'!$F$8:$F$42,SMALL(IF("Página Web"='03.Muestra'!$D$8:$D$42,ROW('03.Muestra'!$F$8:$F$42)-MIN(ROW('03.Muestra'!$D$8:$D$42))+1,""),ROW()-360)),"")</f>
        <v>https://www.comunidad.madrid/hospital/clinicosancarlos/comunicacion</v>
      </c>
      <c r="D368" s="130" t="s">
        <v>35</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Videoteca</v>
      </c>
      <c r="C369" s="114" t="str" cm="1">
        <f t="array" ref="C369">IFERROR(INDEX('03.Muestra'!$F$8:$F$42,SMALL(IF("Página Web"='03.Muestra'!$D$8:$D$42,ROW('03.Muestra'!$F$8:$F$42)-MIN(ROW('03.Muestra'!$D$8:$D$42))+1,""),ROW()-360)),"")</f>
        <v>https://www.comunidad.madrid/hospital/clinicosancarlos/comunicacion/videoteca</v>
      </c>
      <c r="D369" s="130" t="s">
        <v>35</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Noticias</v>
      </c>
      <c r="C370" s="114" t="str" cm="1">
        <f t="array" ref="C370">IFERROR(INDEX('03.Muestra'!$F$8:$F$42,SMALL(IF("Página Web"='03.Muestra'!$D$8:$D$42,ROW('03.Muestra'!$F$8:$F$42)-MIN(ROW('03.Muestra'!$D$8:$D$42))+1,""),ROW()-360)),"")</f>
        <v>https://www.comunidad.madrid/hospital/clinicosancarlos/comunicacion/noticias</v>
      </c>
      <c r="D370" s="130" t="s">
        <v>35</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Nosotros</v>
      </c>
      <c r="C371" s="114" t="str" cm="1">
        <f t="array" ref="C371">IFERROR(INDEX('03.Muestra'!$F$8:$F$42,SMALL(IF("Página Web"='03.Muestra'!$D$8:$D$42,ROW('03.Muestra'!$F$8:$F$42)-MIN(ROW('03.Muestra'!$D$8:$D$42))+1,""),ROW()-360)),"")</f>
        <v>https://www.comunidad.madrid/hospital/clinicosancarlos/nosotros</v>
      </c>
      <c r="D371" s="130" t="s">
        <v>35</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Gestión Ambiental</v>
      </c>
      <c r="C372" s="114" t="str" cm="1">
        <f t="array" ref="C372">IFERROR(INDEX('03.Muestra'!$F$8:$F$42,SMALL(IF("Página Web"='03.Muestra'!$D$8:$D$42,ROW('03.Muestra'!$F$8:$F$42)-MIN(ROW('03.Muestra'!$D$8:$D$42))+1,""),ROW()-360)),"")</f>
        <v>https://www.comunidad.madrid/hospital/clinicosancarlos/nosotros/gestion-ambiental</v>
      </c>
      <c r="D372" s="130" t="s">
        <v>35</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Proveedores</v>
      </c>
      <c r="C373" s="114" t="str" cm="1">
        <f t="array" ref="C373">IFERROR(INDEX('03.Muestra'!$F$8:$F$42,SMALL(IF("Página Web"='03.Muestra'!$D$8:$D$42,ROW('03.Muestra'!$F$8:$F$42)-MIN(ROW('03.Muestra'!$D$8:$D$42))+1,""),ROW()-360)),"")</f>
        <v>https://www.comunidad.madrid/hospital/clinicosancarlos/nosotros/proveedores-0</v>
      </c>
      <c r="D373" s="130" t="s">
        <v>35</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Aviso legal</v>
      </c>
      <c r="C374" s="114" t="str" cm="1">
        <f t="array" ref="C374">IFERROR(INDEX('03.Muestra'!$F$8:$F$42,SMALL(IF("Página Web"='03.Muestra'!$D$8:$D$42,ROW('03.Muestra'!$F$8:$F$42)-MIN(ROW('03.Muestra'!$D$8:$D$42))+1,""),ROW()-360)),"")</f>
        <v>https://www.comunidad.madrid/hospital/clinicosancarlos/aviso-legal-privacidad</v>
      </c>
      <c r="D374" s="130" t="s">
        <v>35</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Mapa web</v>
      </c>
      <c r="C375" s="114" t="str" cm="1">
        <f t="array" ref="C375">IFERROR(INDEX('03.Muestra'!$F$8:$F$42,SMALL(IF("Página Web"='03.Muestra'!$D$8:$D$42,ROW('03.Muestra'!$F$8:$F$42)-MIN(ROW('03.Muestra'!$D$8:$D$42))+1,""),ROW()-360)),"")</f>
        <v>https://www.comunidad.madrid/hospital/clinicosancarlos/sitemap</v>
      </c>
      <c r="D375" s="130" t="s">
        <v>35</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Accesibilidad</v>
      </c>
      <c r="C376" s="114" t="str" cm="1">
        <f t="array" ref="C376">IFERROR(INDEX('03.Muestra'!$F$8:$F$42,SMALL(IF("Página Web"='03.Muestra'!$D$8:$D$42,ROW('03.Muestra'!$F$8:$F$42)-MIN(ROW('03.Muestra'!$D$8:$D$42))+1,""),ROW()-360)),"")</f>
        <v>https://www.comunidad.madrid/hospital/clinicosancarlos/declaracion-accesibilidad</v>
      </c>
      <c r="D376" s="130" t="s">
        <v>35</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ref="D377:D395" si="19">IF(AND(B377&lt;&gt;"",C377&lt;&gt;""),"N/T","")</f>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268</v>
      </c>
      <c r="B398" s="24" t="s">
        <v>90</v>
      </c>
      <c r="C398" s="25" t="s">
        <v>383</v>
      </c>
      <c r="D398" s="26" t="s">
        <v>32</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https://www.comunidad.madrid/hospital/clinicosancarlos/</v>
      </c>
      <c r="D399" s="130" t="s">
        <v>26</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https://www.comunidad.madrid/hospital/clinicosancarlos/ciudadanos</v>
      </c>
      <c r="D400" s="130" t="s">
        <v>26</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16</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Consultas externas</v>
      </c>
      <c r="C401" s="114" t="str" cm="1">
        <f t="array" ref="C401">IFERROR(INDEX('03.Muestra'!$F$8:$F$42,SMALL(IF("Página Web"='03.Muestra'!$D$8:$D$42,ROW('03.Muestra'!$F$8:$F$42)-MIN(ROW('03.Muestra'!$D$8:$D$42))+1,""),ROW()-398)),"")</f>
        <v>https://www.comunidad.madrid/hospital/clinicosancarlos/ciudadanos/consultas-externas</v>
      </c>
      <c r="D401" s="130" t="s">
        <v>26</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Donación</v>
      </c>
      <c r="C402" s="114" t="str" cm="1">
        <f t="array" ref="C402">IFERROR(INDEX('03.Muestra'!$F$8:$F$42,SMALL(IF("Página Web"='03.Muestra'!$D$8:$D$42,ROW('03.Muestra'!$F$8:$F$42)-MIN(ROW('03.Muestra'!$D$8:$D$42))+1,""),ROW()-398)),"")</f>
        <v>https://www.comunidad.madrid/hospital/clinicosancarlos/ciudadanos/donacion-0</v>
      </c>
      <c r="D402" s="130" t="s">
        <v>26</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Profesionales</v>
      </c>
      <c r="C403" s="114" t="str" cm="1">
        <f t="array" ref="C403">IFERROR(INDEX('03.Muestra'!$F$8:$F$42,SMALL(IF("Página Web"='03.Muestra'!$D$8:$D$42,ROW('03.Muestra'!$F$8:$F$42)-MIN(ROW('03.Muestra'!$D$8:$D$42))+1,""),ROW()-398)),"")</f>
        <v>https://www.comunidad.madrid/hospital/clinicosancarlos/profesionales</v>
      </c>
      <c r="D403" s="130" t="s">
        <v>26</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Docencia</v>
      </c>
      <c r="C404" s="114" t="str" cm="1">
        <f t="array" ref="C404">IFERROR(INDEX('03.Muestra'!$F$8:$F$42,SMALL(IF("Página Web"='03.Muestra'!$D$8:$D$42,ROW('03.Muestra'!$F$8:$F$42)-MIN(ROW('03.Muestra'!$D$8:$D$42))+1,""),ROW()-398)),"")</f>
        <v>https://www.comunidad.madrid/hospital/clinicosancarlos/profesionales/docencia</v>
      </c>
      <c r="D404" s="130" t="s">
        <v>26</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Referencia</v>
      </c>
      <c r="C405" s="114" t="str" cm="1">
        <f t="array" ref="C405">IFERROR(INDEX('03.Muestra'!$F$8:$F$42,SMALL(IF("Página Web"='03.Muestra'!$D$8:$D$42,ROW('03.Muestra'!$F$8:$F$42)-MIN(ROW('03.Muestra'!$D$8:$D$42))+1,""),ROW()-398)),"")</f>
        <v>https://www.comunidad.madrid/hospital/clinicosancarlos/profesionales/unidades-referencia-nacional-redes-europeas</v>
      </c>
      <c r="D405" s="130" t="s">
        <v>26</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Comunicación</v>
      </c>
      <c r="C406" s="114" t="str" cm="1">
        <f t="array" ref="C406">IFERROR(INDEX('03.Muestra'!$F$8:$F$42,SMALL(IF("Página Web"='03.Muestra'!$D$8:$D$42,ROW('03.Muestra'!$F$8:$F$42)-MIN(ROW('03.Muestra'!$D$8:$D$42))+1,""),ROW()-398)),"")</f>
        <v>https://www.comunidad.madrid/hospital/clinicosancarlos/comunicacion</v>
      </c>
      <c r="D406" s="130" t="s">
        <v>26</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Videoteca</v>
      </c>
      <c r="C407" s="114" t="str" cm="1">
        <f t="array" ref="C407">IFERROR(INDEX('03.Muestra'!$F$8:$F$42,SMALL(IF("Página Web"='03.Muestra'!$D$8:$D$42,ROW('03.Muestra'!$F$8:$F$42)-MIN(ROW('03.Muestra'!$D$8:$D$42))+1,""),ROW()-398)),"")</f>
        <v>https://www.comunidad.madrid/hospital/clinicosancarlos/comunicacion/videoteca</v>
      </c>
      <c r="D407" s="130" t="s">
        <v>26</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Noticias</v>
      </c>
      <c r="C408" s="114" t="str" cm="1">
        <f t="array" ref="C408">IFERROR(INDEX('03.Muestra'!$F$8:$F$42,SMALL(IF("Página Web"='03.Muestra'!$D$8:$D$42,ROW('03.Muestra'!$F$8:$F$42)-MIN(ROW('03.Muestra'!$D$8:$D$42))+1,""),ROW()-398)),"")</f>
        <v>https://www.comunidad.madrid/hospital/clinicosancarlos/comunicacion/noticias</v>
      </c>
      <c r="D408" s="130" t="s">
        <v>26</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Nosotros</v>
      </c>
      <c r="C409" s="114" t="str" cm="1">
        <f t="array" ref="C409">IFERROR(INDEX('03.Muestra'!$F$8:$F$42,SMALL(IF("Página Web"='03.Muestra'!$D$8:$D$42,ROW('03.Muestra'!$F$8:$F$42)-MIN(ROW('03.Muestra'!$D$8:$D$42))+1,""),ROW()-398)),"")</f>
        <v>https://www.comunidad.madrid/hospital/clinicosancarlos/nosotros</v>
      </c>
      <c r="D409" s="130" t="s">
        <v>26</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Gestión Ambiental</v>
      </c>
      <c r="C410" s="114" t="str" cm="1">
        <f t="array" ref="C410">IFERROR(INDEX('03.Muestra'!$F$8:$F$42,SMALL(IF("Página Web"='03.Muestra'!$D$8:$D$42,ROW('03.Muestra'!$F$8:$F$42)-MIN(ROW('03.Muestra'!$D$8:$D$42))+1,""),ROW()-398)),"")</f>
        <v>https://www.comunidad.madrid/hospital/clinicosancarlos/nosotros/gestion-ambiental</v>
      </c>
      <c r="D410" s="130" t="s">
        <v>26</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Proveedores</v>
      </c>
      <c r="C411" s="114" t="str" cm="1">
        <f t="array" ref="C411">IFERROR(INDEX('03.Muestra'!$F$8:$F$42,SMALL(IF("Página Web"='03.Muestra'!$D$8:$D$42,ROW('03.Muestra'!$F$8:$F$42)-MIN(ROW('03.Muestra'!$D$8:$D$42))+1,""),ROW()-398)),"")</f>
        <v>https://www.comunidad.madrid/hospital/clinicosancarlos/nosotros/proveedores-0</v>
      </c>
      <c r="D411" s="130" t="s">
        <v>26</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Aviso legal</v>
      </c>
      <c r="C412" s="114" t="str" cm="1">
        <f t="array" ref="C412">IFERROR(INDEX('03.Muestra'!$F$8:$F$42,SMALL(IF("Página Web"='03.Muestra'!$D$8:$D$42,ROW('03.Muestra'!$F$8:$F$42)-MIN(ROW('03.Muestra'!$D$8:$D$42))+1,""),ROW()-398)),"")</f>
        <v>https://www.comunidad.madrid/hospital/clinicosancarlos/aviso-legal-privacidad</v>
      </c>
      <c r="D412" s="130" t="s">
        <v>26</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Mapa web</v>
      </c>
      <c r="C413" s="114" t="str" cm="1">
        <f t="array" ref="C413">IFERROR(INDEX('03.Muestra'!$F$8:$F$42,SMALL(IF("Página Web"='03.Muestra'!$D$8:$D$42,ROW('03.Muestra'!$F$8:$F$42)-MIN(ROW('03.Muestra'!$D$8:$D$42))+1,""),ROW()-398)),"")</f>
        <v>https://www.comunidad.madrid/hospital/clinicosancarlos/sitemap</v>
      </c>
      <c r="D413" s="130" t="s">
        <v>26</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Accesibilidad</v>
      </c>
      <c r="C414" s="114" t="str" cm="1">
        <f t="array" ref="C414">IFERROR(INDEX('03.Muestra'!$F$8:$F$42,SMALL(IF("Página Web"='03.Muestra'!$D$8:$D$42,ROW('03.Muestra'!$F$8:$F$42)-MIN(ROW('03.Muestra'!$D$8:$D$42))+1,""),ROW()-398)),"")</f>
        <v>https://www.comunidad.madrid/hospital/clinicosancarlos/declaracion-accesibilidad</v>
      </c>
      <c r="D414" s="130" t="s">
        <v>26</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ref="D415:D433" si="21">IF(AND(B415&lt;&gt;"",C415&lt;&gt;""),"N/T","")</f>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268</v>
      </c>
      <c r="B436" s="24" t="s">
        <v>90</v>
      </c>
      <c r="C436" s="25" t="s">
        <v>384</v>
      </c>
      <c r="D436" s="26" t="s">
        <v>32</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https://www.comunidad.madrid/hospital/clinicosancarlos/</v>
      </c>
      <c r="D437" s="130" t="s">
        <v>35</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https://www.comunidad.madrid/hospital/clinicosancarlos/ciudadanos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16</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Consultas externas</v>
      </c>
      <c r="C439" s="114" t="str" cm="1">
        <f t="array" ref="C439">IFERROR(INDEX('03.Muestra'!$F$8:$F$42,SMALL(IF("Página Web"='03.Muestra'!$D$8:$D$42,ROW('03.Muestra'!$F$8:$F$42)-MIN(ROW('03.Muestra'!$D$8:$D$42))+1,""),ROW()-436)),"")</f>
        <v>https://www.comunidad.madrid/hospital/clinicosancarlos/ciudadanos/consultas-externas</v>
      </c>
      <c r="D439" s="130" t="s">
        <v>35</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Donación</v>
      </c>
      <c r="C440" s="114" t="str" cm="1">
        <f t="array" ref="C440">IFERROR(INDEX('03.Muestra'!$F$8:$F$42,SMALL(IF("Página Web"='03.Muestra'!$D$8:$D$42,ROW('03.Muestra'!$F$8:$F$42)-MIN(ROW('03.Muestra'!$D$8:$D$42))+1,""),ROW()-436)),"")</f>
        <v>https://www.comunidad.madrid/hospital/clinicosancarlos/ciudadanos/donacion-0</v>
      </c>
      <c r="D440" s="130" t="s">
        <v>35</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Profesionales</v>
      </c>
      <c r="C441" s="114" t="str" cm="1">
        <f t="array" ref="C441">IFERROR(INDEX('03.Muestra'!$F$8:$F$42,SMALL(IF("Página Web"='03.Muestra'!$D$8:$D$42,ROW('03.Muestra'!$F$8:$F$42)-MIN(ROW('03.Muestra'!$D$8:$D$42))+1,""),ROW()-436)),"")</f>
        <v>https://www.comunidad.madrid/hospital/clinicosancarlos/profesionales</v>
      </c>
      <c r="D441" s="130" t="s">
        <v>35</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Docencia</v>
      </c>
      <c r="C442" s="114" t="str" cm="1">
        <f t="array" ref="C442">IFERROR(INDEX('03.Muestra'!$F$8:$F$42,SMALL(IF("Página Web"='03.Muestra'!$D$8:$D$42,ROW('03.Muestra'!$F$8:$F$42)-MIN(ROW('03.Muestra'!$D$8:$D$42))+1,""),ROW()-436)),"")</f>
        <v>https://www.comunidad.madrid/hospital/clinicosancarlos/profesionales/docencia</v>
      </c>
      <c r="D442" s="130" t="s">
        <v>35</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Referencia</v>
      </c>
      <c r="C443" s="114" t="str" cm="1">
        <f t="array" ref="C443">IFERROR(INDEX('03.Muestra'!$F$8:$F$42,SMALL(IF("Página Web"='03.Muestra'!$D$8:$D$42,ROW('03.Muestra'!$F$8:$F$42)-MIN(ROW('03.Muestra'!$D$8:$D$42))+1,""),ROW()-436)),"")</f>
        <v>https://www.comunidad.madrid/hospital/clinicosancarlos/profesionales/unidades-referencia-nacional-redes-europeas</v>
      </c>
      <c r="D443" s="130" t="s">
        <v>35</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Comunicación</v>
      </c>
      <c r="C444" s="114" t="str" cm="1">
        <f t="array" ref="C444">IFERROR(INDEX('03.Muestra'!$F$8:$F$42,SMALL(IF("Página Web"='03.Muestra'!$D$8:$D$42,ROW('03.Muestra'!$F$8:$F$42)-MIN(ROW('03.Muestra'!$D$8:$D$42))+1,""),ROW()-436)),"")</f>
        <v>https://www.comunidad.madrid/hospital/clinicosancarlos/comunicacion</v>
      </c>
      <c r="D444" s="130" t="s">
        <v>35</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Videoteca</v>
      </c>
      <c r="C445" s="114" t="str" cm="1">
        <f t="array" ref="C445">IFERROR(INDEX('03.Muestra'!$F$8:$F$42,SMALL(IF("Página Web"='03.Muestra'!$D$8:$D$42,ROW('03.Muestra'!$F$8:$F$42)-MIN(ROW('03.Muestra'!$D$8:$D$42))+1,""),ROW()-436)),"")</f>
        <v>https://www.comunidad.madrid/hospital/clinicosancarlos/comunicacion/videoteca</v>
      </c>
      <c r="D445" s="130" t="s">
        <v>35</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Noticias</v>
      </c>
      <c r="C446" s="114" t="str" cm="1">
        <f t="array" ref="C446">IFERROR(INDEX('03.Muestra'!$F$8:$F$42,SMALL(IF("Página Web"='03.Muestra'!$D$8:$D$42,ROW('03.Muestra'!$F$8:$F$42)-MIN(ROW('03.Muestra'!$D$8:$D$42))+1,""),ROW()-436)),"")</f>
        <v>https://www.comunidad.madrid/hospital/clinicosancarlos/comunicacion/noticias</v>
      </c>
      <c r="D446" s="130" t="s">
        <v>35</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Nosotros</v>
      </c>
      <c r="C447" s="114" t="str" cm="1">
        <f t="array" ref="C447">IFERROR(INDEX('03.Muestra'!$F$8:$F$42,SMALL(IF("Página Web"='03.Muestra'!$D$8:$D$42,ROW('03.Muestra'!$F$8:$F$42)-MIN(ROW('03.Muestra'!$D$8:$D$42))+1,""),ROW()-436)),"")</f>
        <v>https://www.comunidad.madrid/hospital/clinicosancarlos/nosotros</v>
      </c>
      <c r="D447" s="130" t="s">
        <v>35</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Gestión Ambiental</v>
      </c>
      <c r="C448" s="114" t="str" cm="1">
        <f t="array" ref="C448">IFERROR(INDEX('03.Muestra'!$F$8:$F$42,SMALL(IF("Página Web"='03.Muestra'!$D$8:$D$42,ROW('03.Muestra'!$F$8:$F$42)-MIN(ROW('03.Muestra'!$D$8:$D$42))+1,""),ROW()-436)),"")</f>
        <v>https://www.comunidad.madrid/hospital/clinicosancarlos/nosotros/gestion-ambiental</v>
      </c>
      <c r="D448" s="130" t="s">
        <v>35</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Proveedores</v>
      </c>
      <c r="C449" s="114" t="str" cm="1">
        <f t="array" ref="C449">IFERROR(INDEX('03.Muestra'!$F$8:$F$42,SMALL(IF("Página Web"='03.Muestra'!$D$8:$D$42,ROW('03.Muestra'!$F$8:$F$42)-MIN(ROW('03.Muestra'!$D$8:$D$42))+1,""),ROW()-436)),"")</f>
        <v>https://www.comunidad.madrid/hospital/clinicosancarlos/nosotros/proveedores-0</v>
      </c>
      <c r="D449" s="130" t="s">
        <v>35</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Aviso legal</v>
      </c>
      <c r="C450" s="114" t="str" cm="1">
        <f t="array" ref="C450">IFERROR(INDEX('03.Muestra'!$F$8:$F$42,SMALL(IF("Página Web"='03.Muestra'!$D$8:$D$42,ROW('03.Muestra'!$F$8:$F$42)-MIN(ROW('03.Muestra'!$D$8:$D$42))+1,""),ROW()-436)),"")</f>
        <v>https://www.comunidad.madrid/hospital/clinicosancarlos/aviso-legal-privacidad</v>
      </c>
      <c r="D450" s="130" t="s">
        <v>35</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Mapa web</v>
      </c>
      <c r="C451" s="114" t="str" cm="1">
        <f t="array" ref="C451">IFERROR(INDEX('03.Muestra'!$F$8:$F$42,SMALL(IF("Página Web"='03.Muestra'!$D$8:$D$42,ROW('03.Muestra'!$F$8:$F$42)-MIN(ROW('03.Muestra'!$D$8:$D$42))+1,""),ROW()-436)),"")</f>
        <v>https://www.comunidad.madrid/hospital/clinicosancarlos/sitemap</v>
      </c>
      <c r="D451" s="130" t="s">
        <v>35</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Accesibilidad</v>
      </c>
      <c r="C452" s="114" t="str" cm="1">
        <f t="array" ref="C452">IFERROR(INDEX('03.Muestra'!$F$8:$F$42,SMALL(IF("Página Web"='03.Muestra'!$D$8:$D$42,ROW('03.Muestra'!$F$8:$F$42)-MIN(ROW('03.Muestra'!$D$8:$D$42))+1,""),ROW()-436)),"")</f>
        <v>https://www.comunidad.madrid/hospital/clinicosancarlos/declaracion-accesibilidad</v>
      </c>
      <c r="D452" s="130" t="s">
        <v>35</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ref="D453:D471" si="23">IF(AND(B453&lt;&gt;"",C453&lt;&gt;""),"N/T","")</f>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268</v>
      </c>
      <c r="B474" s="24" t="s">
        <v>90</v>
      </c>
      <c r="C474" s="25" t="s">
        <v>385</v>
      </c>
      <c r="D474" s="26" t="s">
        <v>32</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https://www.comunidad.madrid/hospital/clinicosancarlos/</v>
      </c>
      <c r="D475" s="130" t="s">
        <v>26</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https://www.comunidad.madrid/hospital/clinicosancarlos/ciudadanos</v>
      </c>
      <c r="D476" s="130" t="s">
        <v>26</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16</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Consultas externas</v>
      </c>
      <c r="C477" s="114" t="str" cm="1">
        <f t="array" ref="C477">IFERROR(INDEX('03.Muestra'!$F$8:$F$42,SMALL(IF("Página Web"='03.Muestra'!$D$8:$D$42,ROW('03.Muestra'!$F$8:$F$42)-MIN(ROW('03.Muestra'!$D$8:$D$42))+1,""),ROW()-474)),"")</f>
        <v>https://www.comunidad.madrid/hospital/clinicosancarlos/ciudadanos/consultas-externas</v>
      </c>
      <c r="D477" s="130" t="s">
        <v>26</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Donación</v>
      </c>
      <c r="C478" s="114" t="str" cm="1">
        <f t="array" ref="C478">IFERROR(INDEX('03.Muestra'!$F$8:$F$42,SMALL(IF("Página Web"='03.Muestra'!$D$8:$D$42,ROW('03.Muestra'!$F$8:$F$42)-MIN(ROW('03.Muestra'!$D$8:$D$42))+1,""),ROW()-474)),"")</f>
        <v>https://www.comunidad.madrid/hospital/clinicosancarlos/ciudadanos/donacion-0</v>
      </c>
      <c r="D478" s="130" t="s">
        <v>26</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Profesionales</v>
      </c>
      <c r="C479" s="114" t="str" cm="1">
        <f t="array" ref="C479">IFERROR(INDEX('03.Muestra'!$F$8:$F$42,SMALL(IF("Página Web"='03.Muestra'!$D$8:$D$42,ROW('03.Muestra'!$F$8:$F$42)-MIN(ROW('03.Muestra'!$D$8:$D$42))+1,""),ROW()-474)),"")</f>
        <v>https://www.comunidad.madrid/hospital/clinicosancarlos/profesionales</v>
      </c>
      <c r="D479" s="130" t="s">
        <v>26</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Docencia</v>
      </c>
      <c r="C480" s="114" t="str" cm="1">
        <f t="array" ref="C480">IFERROR(INDEX('03.Muestra'!$F$8:$F$42,SMALL(IF("Página Web"='03.Muestra'!$D$8:$D$42,ROW('03.Muestra'!$F$8:$F$42)-MIN(ROW('03.Muestra'!$D$8:$D$42))+1,""),ROW()-474)),"")</f>
        <v>https://www.comunidad.madrid/hospital/clinicosancarlos/profesionales/docencia</v>
      </c>
      <c r="D480" s="130" t="s">
        <v>26</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Referencia</v>
      </c>
      <c r="C481" s="114" t="str" cm="1">
        <f t="array" ref="C481">IFERROR(INDEX('03.Muestra'!$F$8:$F$42,SMALL(IF("Página Web"='03.Muestra'!$D$8:$D$42,ROW('03.Muestra'!$F$8:$F$42)-MIN(ROW('03.Muestra'!$D$8:$D$42))+1,""),ROW()-474)),"")</f>
        <v>https://www.comunidad.madrid/hospital/clinicosancarlos/profesionales/unidades-referencia-nacional-redes-europeas</v>
      </c>
      <c r="D481" s="130" t="s">
        <v>26</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Comunicación</v>
      </c>
      <c r="C482" s="114" t="str" cm="1">
        <f t="array" ref="C482">IFERROR(INDEX('03.Muestra'!$F$8:$F$42,SMALL(IF("Página Web"='03.Muestra'!$D$8:$D$42,ROW('03.Muestra'!$F$8:$F$42)-MIN(ROW('03.Muestra'!$D$8:$D$42))+1,""),ROW()-474)),"")</f>
        <v>https://www.comunidad.madrid/hospital/clinicosancarlos/comunicacion</v>
      </c>
      <c r="D482" s="130" t="s">
        <v>26</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Videoteca</v>
      </c>
      <c r="C483" s="114" t="str" cm="1">
        <f t="array" ref="C483">IFERROR(INDEX('03.Muestra'!$F$8:$F$42,SMALL(IF("Página Web"='03.Muestra'!$D$8:$D$42,ROW('03.Muestra'!$F$8:$F$42)-MIN(ROW('03.Muestra'!$D$8:$D$42))+1,""),ROW()-474)),"")</f>
        <v>https://www.comunidad.madrid/hospital/clinicosancarlos/comunicacion/videoteca</v>
      </c>
      <c r="D483" s="130" t="s">
        <v>26</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Noticias</v>
      </c>
      <c r="C484" s="114" t="str" cm="1">
        <f t="array" ref="C484">IFERROR(INDEX('03.Muestra'!$F$8:$F$42,SMALL(IF("Página Web"='03.Muestra'!$D$8:$D$42,ROW('03.Muestra'!$F$8:$F$42)-MIN(ROW('03.Muestra'!$D$8:$D$42))+1,""),ROW()-474)),"")</f>
        <v>https://www.comunidad.madrid/hospital/clinicosancarlos/comunicacion/noticias</v>
      </c>
      <c r="D484" s="130" t="s">
        <v>26</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Nosotros</v>
      </c>
      <c r="C485" s="114" t="str" cm="1">
        <f t="array" ref="C485">IFERROR(INDEX('03.Muestra'!$F$8:$F$42,SMALL(IF("Página Web"='03.Muestra'!$D$8:$D$42,ROW('03.Muestra'!$F$8:$F$42)-MIN(ROW('03.Muestra'!$D$8:$D$42))+1,""),ROW()-474)),"")</f>
        <v>https://www.comunidad.madrid/hospital/clinicosancarlos/nosotros</v>
      </c>
      <c r="D485" s="130" t="s">
        <v>26</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Gestión Ambiental</v>
      </c>
      <c r="C486" s="114" t="str" cm="1">
        <f t="array" ref="C486">IFERROR(INDEX('03.Muestra'!$F$8:$F$42,SMALL(IF("Página Web"='03.Muestra'!$D$8:$D$42,ROW('03.Muestra'!$F$8:$F$42)-MIN(ROW('03.Muestra'!$D$8:$D$42))+1,""),ROW()-474)),"")</f>
        <v>https://www.comunidad.madrid/hospital/clinicosancarlos/nosotros/gestion-ambiental</v>
      </c>
      <c r="D486" s="130" t="s">
        <v>26</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Proveedores</v>
      </c>
      <c r="C487" s="114" t="str" cm="1">
        <f t="array" ref="C487">IFERROR(INDEX('03.Muestra'!$F$8:$F$42,SMALL(IF("Página Web"='03.Muestra'!$D$8:$D$42,ROW('03.Muestra'!$F$8:$F$42)-MIN(ROW('03.Muestra'!$D$8:$D$42))+1,""),ROW()-474)),"")</f>
        <v>https://www.comunidad.madrid/hospital/clinicosancarlos/nosotros/proveedores-0</v>
      </c>
      <c r="D487" s="130" t="s">
        <v>26</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Aviso legal</v>
      </c>
      <c r="C488" s="114" t="str" cm="1">
        <f t="array" ref="C488">IFERROR(INDEX('03.Muestra'!$F$8:$F$42,SMALL(IF("Página Web"='03.Muestra'!$D$8:$D$42,ROW('03.Muestra'!$F$8:$F$42)-MIN(ROW('03.Muestra'!$D$8:$D$42))+1,""),ROW()-474)),"")</f>
        <v>https://www.comunidad.madrid/hospital/clinicosancarlos/aviso-legal-privacidad</v>
      </c>
      <c r="D488" s="130" t="s">
        <v>26</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Mapa web</v>
      </c>
      <c r="C489" s="114" t="str" cm="1">
        <f t="array" ref="C489">IFERROR(INDEX('03.Muestra'!$F$8:$F$42,SMALL(IF("Página Web"='03.Muestra'!$D$8:$D$42,ROW('03.Muestra'!$F$8:$F$42)-MIN(ROW('03.Muestra'!$D$8:$D$42))+1,""),ROW()-474)),"")</f>
        <v>https://www.comunidad.madrid/hospital/clinicosancarlos/sitemap</v>
      </c>
      <c r="D489" s="130" t="s">
        <v>26</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Accesibilidad</v>
      </c>
      <c r="C490" s="114" t="str" cm="1">
        <f t="array" ref="C490">IFERROR(INDEX('03.Muestra'!$F$8:$F$42,SMALL(IF("Página Web"='03.Muestra'!$D$8:$D$42,ROW('03.Muestra'!$F$8:$F$42)-MIN(ROW('03.Muestra'!$D$8:$D$42))+1,""),ROW()-474)),"")</f>
        <v>https://www.comunidad.madrid/hospital/clinicosancarlos/declaracion-accesibilidad</v>
      </c>
      <c r="D490" s="130" t="s">
        <v>26</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ref="D491:D509" si="25">IF(AND(B491&lt;&gt;"",C491&lt;&gt;""),"N/T","")</f>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268</v>
      </c>
      <c r="B512" s="24" t="s">
        <v>90</v>
      </c>
      <c r="C512" s="25" t="s">
        <v>386</v>
      </c>
      <c r="D512" s="26" t="s">
        <v>32</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https://www.comunidad.madrid/hospital/clinicosancarlos/</v>
      </c>
      <c r="D513" s="130" t="s">
        <v>28</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https://www.comunidad.madrid/hospital/clinicosancarlos/ciudadanos</v>
      </c>
      <c r="D514" s="130" t="s">
        <v>28</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16</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Consultas externas</v>
      </c>
      <c r="C515" s="114" t="str" cm="1">
        <f t="array" ref="C515">IFERROR(INDEX('03.Muestra'!$F$8:$F$42,SMALL(IF("Página Web"='03.Muestra'!$D$8:$D$42,ROW('03.Muestra'!$F$8:$F$42)-MIN(ROW('03.Muestra'!$D$8:$D$42))+1,""),ROW()-512)),"")</f>
        <v>https://www.comunidad.madrid/hospital/clinicosancarlos/ciudadanos/consultas-externas</v>
      </c>
      <c r="D515" s="130" t="s">
        <v>28</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Donación</v>
      </c>
      <c r="C516" s="114" t="str" cm="1">
        <f t="array" ref="C516">IFERROR(INDEX('03.Muestra'!$F$8:$F$42,SMALL(IF("Página Web"='03.Muestra'!$D$8:$D$42,ROW('03.Muestra'!$F$8:$F$42)-MIN(ROW('03.Muestra'!$D$8:$D$42))+1,""),ROW()-512)),"")</f>
        <v>https://www.comunidad.madrid/hospital/clinicosancarlos/ciudadanos/donacion-0</v>
      </c>
      <c r="D516" s="130" t="s">
        <v>28</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Profesionales</v>
      </c>
      <c r="C517" s="114" t="str" cm="1">
        <f t="array" ref="C517">IFERROR(INDEX('03.Muestra'!$F$8:$F$42,SMALL(IF("Página Web"='03.Muestra'!$D$8:$D$42,ROW('03.Muestra'!$F$8:$F$42)-MIN(ROW('03.Muestra'!$D$8:$D$42))+1,""),ROW()-512)),"")</f>
        <v>https://www.comunidad.madrid/hospital/clinicosancarlos/profesionales</v>
      </c>
      <c r="D517" s="130" t="s">
        <v>28</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Docencia</v>
      </c>
      <c r="C518" s="114" t="str" cm="1">
        <f t="array" ref="C518">IFERROR(INDEX('03.Muestra'!$F$8:$F$42,SMALL(IF("Página Web"='03.Muestra'!$D$8:$D$42,ROW('03.Muestra'!$F$8:$F$42)-MIN(ROW('03.Muestra'!$D$8:$D$42))+1,""),ROW()-512)),"")</f>
        <v>https://www.comunidad.madrid/hospital/clinicosancarlos/profesionales/docencia</v>
      </c>
      <c r="D518" s="130" t="s">
        <v>28</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Referencia</v>
      </c>
      <c r="C519" s="114" t="str" cm="1">
        <f t="array" ref="C519">IFERROR(INDEX('03.Muestra'!$F$8:$F$42,SMALL(IF("Página Web"='03.Muestra'!$D$8:$D$42,ROW('03.Muestra'!$F$8:$F$42)-MIN(ROW('03.Muestra'!$D$8:$D$42))+1,""),ROW()-512)),"")</f>
        <v>https://www.comunidad.madrid/hospital/clinicosancarlos/profesionales/unidades-referencia-nacional-redes-europeas</v>
      </c>
      <c r="D519" s="130" t="s">
        <v>28</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Comunicación</v>
      </c>
      <c r="C520" s="114" t="str" cm="1">
        <f t="array" ref="C520">IFERROR(INDEX('03.Muestra'!$F$8:$F$42,SMALL(IF("Página Web"='03.Muestra'!$D$8:$D$42,ROW('03.Muestra'!$F$8:$F$42)-MIN(ROW('03.Muestra'!$D$8:$D$42))+1,""),ROW()-512)),"")</f>
        <v>https://www.comunidad.madrid/hospital/clinicosancarlos/comunicacion</v>
      </c>
      <c r="D520" s="130" t="s">
        <v>28</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Videoteca</v>
      </c>
      <c r="C521" s="114" t="str" cm="1">
        <f t="array" ref="C521">IFERROR(INDEX('03.Muestra'!$F$8:$F$42,SMALL(IF("Página Web"='03.Muestra'!$D$8:$D$42,ROW('03.Muestra'!$F$8:$F$42)-MIN(ROW('03.Muestra'!$D$8:$D$42))+1,""),ROW()-512)),"")</f>
        <v>https://www.comunidad.madrid/hospital/clinicosancarlos/comunicacion/videoteca</v>
      </c>
      <c r="D521" s="130" t="s">
        <v>28</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Noticias</v>
      </c>
      <c r="C522" s="114" t="str" cm="1">
        <f t="array" ref="C522">IFERROR(INDEX('03.Muestra'!$F$8:$F$42,SMALL(IF("Página Web"='03.Muestra'!$D$8:$D$42,ROW('03.Muestra'!$F$8:$F$42)-MIN(ROW('03.Muestra'!$D$8:$D$42))+1,""),ROW()-512)),"")</f>
        <v>https://www.comunidad.madrid/hospital/clinicosancarlos/comunicacion/noticias</v>
      </c>
      <c r="D522" s="130" t="s">
        <v>28</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Nosotros</v>
      </c>
      <c r="C523" s="114" t="str" cm="1">
        <f t="array" ref="C523">IFERROR(INDEX('03.Muestra'!$F$8:$F$42,SMALL(IF("Página Web"='03.Muestra'!$D$8:$D$42,ROW('03.Muestra'!$F$8:$F$42)-MIN(ROW('03.Muestra'!$D$8:$D$42))+1,""),ROW()-512)),"")</f>
        <v>https://www.comunidad.madrid/hospital/clinicosancarlos/nosotros</v>
      </c>
      <c r="D523" s="130" t="s">
        <v>28</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Gestión Ambiental</v>
      </c>
      <c r="C524" s="114" t="str" cm="1">
        <f t="array" ref="C524">IFERROR(INDEX('03.Muestra'!$F$8:$F$42,SMALL(IF("Página Web"='03.Muestra'!$D$8:$D$42,ROW('03.Muestra'!$F$8:$F$42)-MIN(ROW('03.Muestra'!$D$8:$D$42))+1,""),ROW()-512)),"")</f>
        <v>https://www.comunidad.madrid/hospital/clinicosancarlos/nosotros/gestion-ambiental</v>
      </c>
      <c r="D524" s="130" t="s">
        <v>28</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Proveedores</v>
      </c>
      <c r="C525" s="114" t="str" cm="1">
        <f t="array" ref="C525">IFERROR(INDEX('03.Muestra'!$F$8:$F$42,SMALL(IF("Página Web"='03.Muestra'!$D$8:$D$42,ROW('03.Muestra'!$F$8:$F$42)-MIN(ROW('03.Muestra'!$D$8:$D$42))+1,""),ROW()-512)),"")</f>
        <v>https://www.comunidad.madrid/hospital/clinicosancarlos/nosotros/proveedores-0</v>
      </c>
      <c r="D525" s="130" t="s">
        <v>28</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Aviso legal</v>
      </c>
      <c r="C526" s="114" t="str" cm="1">
        <f t="array" ref="C526">IFERROR(INDEX('03.Muestra'!$F$8:$F$42,SMALL(IF("Página Web"='03.Muestra'!$D$8:$D$42,ROW('03.Muestra'!$F$8:$F$42)-MIN(ROW('03.Muestra'!$D$8:$D$42))+1,""),ROW()-512)),"")</f>
        <v>https://www.comunidad.madrid/hospital/clinicosancarlos/aviso-legal-privacidad</v>
      </c>
      <c r="D526" s="130" t="s">
        <v>28</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Mapa web</v>
      </c>
      <c r="C527" s="114" t="str" cm="1">
        <f t="array" ref="C527">IFERROR(INDEX('03.Muestra'!$F$8:$F$42,SMALL(IF("Página Web"='03.Muestra'!$D$8:$D$42,ROW('03.Muestra'!$F$8:$F$42)-MIN(ROW('03.Muestra'!$D$8:$D$42))+1,""),ROW()-512)),"")</f>
        <v>https://www.comunidad.madrid/hospital/clinicosancarlos/sitemap</v>
      </c>
      <c r="D527" s="130" t="s">
        <v>28</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Accesibilidad</v>
      </c>
      <c r="C528" s="114" t="str" cm="1">
        <f t="array" ref="C528">IFERROR(INDEX('03.Muestra'!$F$8:$F$42,SMALL(IF("Página Web"='03.Muestra'!$D$8:$D$42,ROW('03.Muestra'!$F$8:$F$42)-MIN(ROW('03.Muestra'!$D$8:$D$42))+1,""),ROW()-512)),"")</f>
        <v>https://www.comunidad.madrid/hospital/clinicosancarlos/declaracion-accesibilidad</v>
      </c>
      <c r="D528" s="130" t="s">
        <v>28</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ref="D529:D547" si="27">IF(AND(B529&lt;&gt;"",C529&lt;&gt;""),"N/T","")</f>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268</v>
      </c>
      <c r="B550" s="24" t="s">
        <v>90</v>
      </c>
      <c r="C550" s="25" t="s">
        <v>387</v>
      </c>
      <c r="D550" s="26" t="s">
        <v>32</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https://www.comunidad.madrid/hospital/clinicosancarlos/</v>
      </c>
      <c r="D551" s="130" t="s">
        <v>35</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https://www.comunidad.madrid/hospital/clinicosancarlos/ciudadanos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16</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Consultas externas</v>
      </c>
      <c r="C553" s="114" t="str" cm="1">
        <f t="array" ref="C553">IFERROR(INDEX('03.Muestra'!$F$8:$F$42,SMALL(IF("Página Web"='03.Muestra'!$D$8:$D$42,ROW('03.Muestra'!$F$8:$F$42)-MIN(ROW('03.Muestra'!$D$8:$D$42))+1,""),ROW()-550)),"")</f>
        <v>https://www.comunidad.madrid/hospital/clinicosancarlos/ciudadanos/consultas-externas</v>
      </c>
      <c r="D553" s="130" t="s">
        <v>35</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Donación</v>
      </c>
      <c r="C554" s="114" t="str" cm="1">
        <f t="array" ref="C554">IFERROR(INDEX('03.Muestra'!$F$8:$F$42,SMALL(IF("Página Web"='03.Muestra'!$D$8:$D$42,ROW('03.Muestra'!$F$8:$F$42)-MIN(ROW('03.Muestra'!$D$8:$D$42))+1,""),ROW()-550)),"")</f>
        <v>https://www.comunidad.madrid/hospital/clinicosancarlos/ciudadanos/donacion-0</v>
      </c>
      <c r="D554" s="130" t="s">
        <v>35</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Profesionales</v>
      </c>
      <c r="C555" s="114" t="str" cm="1">
        <f t="array" ref="C555">IFERROR(INDEX('03.Muestra'!$F$8:$F$42,SMALL(IF("Página Web"='03.Muestra'!$D$8:$D$42,ROW('03.Muestra'!$F$8:$F$42)-MIN(ROW('03.Muestra'!$D$8:$D$42))+1,""),ROW()-550)),"")</f>
        <v>https://www.comunidad.madrid/hospital/clinicosancarlos/profesionales</v>
      </c>
      <c r="D555" s="130" t="s">
        <v>35</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Docencia</v>
      </c>
      <c r="C556" s="114" t="str" cm="1">
        <f t="array" ref="C556">IFERROR(INDEX('03.Muestra'!$F$8:$F$42,SMALL(IF("Página Web"='03.Muestra'!$D$8:$D$42,ROW('03.Muestra'!$F$8:$F$42)-MIN(ROW('03.Muestra'!$D$8:$D$42))+1,""),ROW()-550)),"")</f>
        <v>https://www.comunidad.madrid/hospital/clinicosancarlos/profesionales/docencia</v>
      </c>
      <c r="D556" s="130" t="s">
        <v>35</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Referencia</v>
      </c>
      <c r="C557" s="114" t="str" cm="1">
        <f t="array" ref="C557">IFERROR(INDEX('03.Muestra'!$F$8:$F$42,SMALL(IF("Página Web"='03.Muestra'!$D$8:$D$42,ROW('03.Muestra'!$F$8:$F$42)-MIN(ROW('03.Muestra'!$D$8:$D$42))+1,""),ROW()-550)),"")</f>
        <v>https://www.comunidad.madrid/hospital/clinicosancarlos/profesionales/unidades-referencia-nacional-redes-europeas</v>
      </c>
      <c r="D557" s="130" t="s">
        <v>35</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Comunicación</v>
      </c>
      <c r="C558" s="114" t="str" cm="1">
        <f t="array" ref="C558">IFERROR(INDEX('03.Muestra'!$F$8:$F$42,SMALL(IF("Página Web"='03.Muestra'!$D$8:$D$42,ROW('03.Muestra'!$F$8:$F$42)-MIN(ROW('03.Muestra'!$D$8:$D$42))+1,""),ROW()-550)),"")</f>
        <v>https://www.comunidad.madrid/hospital/clinicosancarlos/comunicacion</v>
      </c>
      <c r="D558" s="130" t="s">
        <v>35</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Videoteca</v>
      </c>
      <c r="C559" s="114" t="str" cm="1">
        <f t="array" ref="C559">IFERROR(INDEX('03.Muestra'!$F$8:$F$42,SMALL(IF("Página Web"='03.Muestra'!$D$8:$D$42,ROW('03.Muestra'!$F$8:$F$42)-MIN(ROW('03.Muestra'!$D$8:$D$42))+1,""),ROW()-550)),"")</f>
        <v>https://www.comunidad.madrid/hospital/clinicosancarlos/comunicacion/videoteca</v>
      </c>
      <c r="D559" s="130" t="s">
        <v>35</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Noticias</v>
      </c>
      <c r="C560" s="114" t="str" cm="1">
        <f t="array" ref="C560">IFERROR(INDEX('03.Muestra'!$F$8:$F$42,SMALL(IF("Página Web"='03.Muestra'!$D$8:$D$42,ROW('03.Muestra'!$F$8:$F$42)-MIN(ROW('03.Muestra'!$D$8:$D$42))+1,""),ROW()-550)),"")</f>
        <v>https://www.comunidad.madrid/hospital/clinicosancarlos/comunicacion/noticias</v>
      </c>
      <c r="D560" s="130" t="s">
        <v>35</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Nosotros</v>
      </c>
      <c r="C561" s="114" t="str" cm="1">
        <f t="array" ref="C561">IFERROR(INDEX('03.Muestra'!$F$8:$F$42,SMALL(IF("Página Web"='03.Muestra'!$D$8:$D$42,ROW('03.Muestra'!$F$8:$F$42)-MIN(ROW('03.Muestra'!$D$8:$D$42))+1,""),ROW()-550)),"")</f>
        <v>https://www.comunidad.madrid/hospital/clinicosancarlos/nosotros</v>
      </c>
      <c r="D561" s="130" t="s">
        <v>35</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Gestión Ambiental</v>
      </c>
      <c r="C562" s="114" t="str" cm="1">
        <f t="array" ref="C562">IFERROR(INDEX('03.Muestra'!$F$8:$F$42,SMALL(IF("Página Web"='03.Muestra'!$D$8:$D$42,ROW('03.Muestra'!$F$8:$F$42)-MIN(ROW('03.Muestra'!$D$8:$D$42))+1,""),ROW()-550)),"")</f>
        <v>https://www.comunidad.madrid/hospital/clinicosancarlos/nosotros/gestion-ambiental</v>
      </c>
      <c r="D562" s="130" t="s">
        <v>35</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Proveedores</v>
      </c>
      <c r="C563" s="114" t="str" cm="1">
        <f t="array" ref="C563">IFERROR(INDEX('03.Muestra'!$F$8:$F$42,SMALL(IF("Página Web"='03.Muestra'!$D$8:$D$42,ROW('03.Muestra'!$F$8:$F$42)-MIN(ROW('03.Muestra'!$D$8:$D$42))+1,""),ROW()-550)),"")</f>
        <v>https://www.comunidad.madrid/hospital/clinicosancarlos/nosotros/proveedores-0</v>
      </c>
      <c r="D563" s="130" t="s">
        <v>35</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Aviso legal</v>
      </c>
      <c r="C564" s="114" t="str" cm="1">
        <f t="array" ref="C564">IFERROR(INDEX('03.Muestra'!$F$8:$F$42,SMALL(IF("Página Web"='03.Muestra'!$D$8:$D$42,ROW('03.Muestra'!$F$8:$F$42)-MIN(ROW('03.Muestra'!$D$8:$D$42))+1,""),ROW()-550)),"")</f>
        <v>https://www.comunidad.madrid/hospital/clinicosancarlos/aviso-legal-privacidad</v>
      </c>
      <c r="D564" s="130" t="s">
        <v>35</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Mapa web</v>
      </c>
      <c r="C565" s="114" t="str" cm="1">
        <f t="array" ref="C565">IFERROR(INDEX('03.Muestra'!$F$8:$F$42,SMALL(IF("Página Web"='03.Muestra'!$D$8:$D$42,ROW('03.Muestra'!$F$8:$F$42)-MIN(ROW('03.Muestra'!$D$8:$D$42))+1,""),ROW()-550)),"")</f>
        <v>https://www.comunidad.madrid/hospital/clinicosancarlos/sitemap</v>
      </c>
      <c r="D565" s="130" t="s">
        <v>35</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Accesibilidad</v>
      </c>
      <c r="C566" s="114" t="str" cm="1">
        <f t="array" ref="C566">IFERROR(INDEX('03.Muestra'!$F$8:$F$42,SMALL(IF("Página Web"='03.Muestra'!$D$8:$D$42,ROW('03.Muestra'!$F$8:$F$42)-MIN(ROW('03.Muestra'!$D$8:$D$42))+1,""),ROW()-550)),"")</f>
        <v>https://www.comunidad.madrid/hospital/clinicosancarlos/declaracion-accesibilidad</v>
      </c>
      <c r="D566" s="130" t="s">
        <v>35</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ref="D567:D585" si="29">IF(AND(B567&lt;&gt;"",C567&lt;&gt;""),"N/T","")</f>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268</v>
      </c>
      <c r="B588" s="24" t="s">
        <v>90</v>
      </c>
      <c r="C588" s="25" t="s">
        <v>388</v>
      </c>
      <c r="D588" s="26" t="s">
        <v>32</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https://www.comunidad.madrid/hospital/clinicosancarlos/</v>
      </c>
      <c r="D589" s="130" t="s">
        <v>26</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https://www.comunidad.madrid/hospital/clinicosancarlos/ciudadanos</v>
      </c>
      <c r="D590" s="130" t="s">
        <v>26</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16</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Consultas externas</v>
      </c>
      <c r="C591" s="114" t="str" cm="1">
        <f t="array" ref="C591">IFERROR(INDEX('03.Muestra'!$F$8:$F$42,SMALL(IF("Página Web"='03.Muestra'!$D$8:$D$42,ROW('03.Muestra'!$F$8:$F$42)-MIN(ROW('03.Muestra'!$D$8:$D$42))+1,""),ROW()-588)),"")</f>
        <v>https://www.comunidad.madrid/hospital/clinicosancarlos/ciudadanos/consultas-externas</v>
      </c>
      <c r="D591" s="130" t="s">
        <v>26</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Donación</v>
      </c>
      <c r="C592" s="114" t="str" cm="1">
        <f t="array" ref="C592">IFERROR(INDEX('03.Muestra'!$F$8:$F$42,SMALL(IF("Página Web"='03.Muestra'!$D$8:$D$42,ROW('03.Muestra'!$F$8:$F$42)-MIN(ROW('03.Muestra'!$D$8:$D$42))+1,""),ROW()-588)),"")</f>
        <v>https://www.comunidad.madrid/hospital/clinicosancarlos/ciudadanos/donacion-0</v>
      </c>
      <c r="D592" s="130" t="s">
        <v>26</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Profesionales</v>
      </c>
      <c r="C593" s="114" t="str" cm="1">
        <f t="array" ref="C593">IFERROR(INDEX('03.Muestra'!$F$8:$F$42,SMALL(IF("Página Web"='03.Muestra'!$D$8:$D$42,ROW('03.Muestra'!$F$8:$F$42)-MIN(ROW('03.Muestra'!$D$8:$D$42))+1,""),ROW()-588)),"")</f>
        <v>https://www.comunidad.madrid/hospital/clinicosancarlos/profesionales</v>
      </c>
      <c r="D593" s="130" t="s">
        <v>26</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Docencia</v>
      </c>
      <c r="C594" s="114" t="str" cm="1">
        <f t="array" ref="C594">IFERROR(INDEX('03.Muestra'!$F$8:$F$42,SMALL(IF("Página Web"='03.Muestra'!$D$8:$D$42,ROW('03.Muestra'!$F$8:$F$42)-MIN(ROW('03.Muestra'!$D$8:$D$42))+1,""),ROW()-588)),"")</f>
        <v>https://www.comunidad.madrid/hospital/clinicosancarlos/profesionales/docencia</v>
      </c>
      <c r="D594" s="130" t="s">
        <v>26</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Referencia</v>
      </c>
      <c r="C595" s="114" t="str" cm="1">
        <f t="array" ref="C595">IFERROR(INDEX('03.Muestra'!$F$8:$F$42,SMALL(IF("Página Web"='03.Muestra'!$D$8:$D$42,ROW('03.Muestra'!$F$8:$F$42)-MIN(ROW('03.Muestra'!$D$8:$D$42))+1,""),ROW()-588)),"")</f>
        <v>https://www.comunidad.madrid/hospital/clinicosancarlos/profesionales/unidades-referencia-nacional-redes-europeas</v>
      </c>
      <c r="D595" s="130" t="s">
        <v>26</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Comunicación</v>
      </c>
      <c r="C596" s="114" t="str" cm="1">
        <f t="array" ref="C596">IFERROR(INDEX('03.Muestra'!$F$8:$F$42,SMALL(IF("Página Web"='03.Muestra'!$D$8:$D$42,ROW('03.Muestra'!$F$8:$F$42)-MIN(ROW('03.Muestra'!$D$8:$D$42))+1,""),ROW()-588)),"")</f>
        <v>https://www.comunidad.madrid/hospital/clinicosancarlos/comunicacion</v>
      </c>
      <c r="D596" s="130" t="s">
        <v>26</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Videoteca</v>
      </c>
      <c r="C597" s="114" t="str" cm="1">
        <f t="array" ref="C597">IFERROR(INDEX('03.Muestra'!$F$8:$F$42,SMALL(IF("Página Web"='03.Muestra'!$D$8:$D$42,ROW('03.Muestra'!$F$8:$F$42)-MIN(ROW('03.Muestra'!$D$8:$D$42))+1,""),ROW()-588)),"")</f>
        <v>https://www.comunidad.madrid/hospital/clinicosancarlos/comunicacion/videoteca</v>
      </c>
      <c r="D597" s="130" t="s">
        <v>26</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Noticias</v>
      </c>
      <c r="C598" s="114" t="str" cm="1">
        <f t="array" ref="C598">IFERROR(INDEX('03.Muestra'!$F$8:$F$42,SMALL(IF("Página Web"='03.Muestra'!$D$8:$D$42,ROW('03.Muestra'!$F$8:$F$42)-MIN(ROW('03.Muestra'!$D$8:$D$42))+1,""),ROW()-588)),"")</f>
        <v>https://www.comunidad.madrid/hospital/clinicosancarlos/comunicacion/noticias</v>
      </c>
      <c r="D598" s="130" t="s">
        <v>26</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Nosotros</v>
      </c>
      <c r="C599" s="114" t="str" cm="1">
        <f t="array" ref="C599">IFERROR(INDEX('03.Muestra'!$F$8:$F$42,SMALL(IF("Página Web"='03.Muestra'!$D$8:$D$42,ROW('03.Muestra'!$F$8:$F$42)-MIN(ROW('03.Muestra'!$D$8:$D$42))+1,""),ROW()-588)),"")</f>
        <v>https://www.comunidad.madrid/hospital/clinicosancarlos/nosotros</v>
      </c>
      <c r="D599" s="130" t="s">
        <v>26</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Gestión Ambiental</v>
      </c>
      <c r="C600" s="114" t="str" cm="1">
        <f t="array" ref="C600">IFERROR(INDEX('03.Muestra'!$F$8:$F$42,SMALL(IF("Página Web"='03.Muestra'!$D$8:$D$42,ROW('03.Muestra'!$F$8:$F$42)-MIN(ROW('03.Muestra'!$D$8:$D$42))+1,""),ROW()-588)),"")</f>
        <v>https://www.comunidad.madrid/hospital/clinicosancarlos/nosotros/gestion-ambiental</v>
      </c>
      <c r="D600" s="130" t="s">
        <v>26</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Proveedores</v>
      </c>
      <c r="C601" s="114" t="str" cm="1">
        <f t="array" ref="C601">IFERROR(INDEX('03.Muestra'!$F$8:$F$42,SMALL(IF("Página Web"='03.Muestra'!$D$8:$D$42,ROW('03.Muestra'!$F$8:$F$42)-MIN(ROW('03.Muestra'!$D$8:$D$42))+1,""),ROW()-588)),"")</f>
        <v>https://www.comunidad.madrid/hospital/clinicosancarlos/nosotros/proveedores-0</v>
      </c>
      <c r="D601" s="130" t="s">
        <v>26</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Aviso legal</v>
      </c>
      <c r="C602" s="114" t="str" cm="1">
        <f t="array" ref="C602">IFERROR(INDEX('03.Muestra'!$F$8:$F$42,SMALL(IF("Página Web"='03.Muestra'!$D$8:$D$42,ROW('03.Muestra'!$F$8:$F$42)-MIN(ROW('03.Muestra'!$D$8:$D$42))+1,""),ROW()-588)),"")</f>
        <v>https://www.comunidad.madrid/hospital/clinicosancarlos/aviso-legal-privacidad</v>
      </c>
      <c r="D602" s="130" t="s">
        <v>26</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Mapa web</v>
      </c>
      <c r="C603" s="114" t="str" cm="1">
        <f t="array" ref="C603">IFERROR(INDEX('03.Muestra'!$F$8:$F$42,SMALL(IF("Página Web"='03.Muestra'!$D$8:$D$42,ROW('03.Muestra'!$F$8:$F$42)-MIN(ROW('03.Muestra'!$D$8:$D$42))+1,""),ROW()-588)),"")</f>
        <v>https://www.comunidad.madrid/hospital/clinicosancarlos/sitemap</v>
      </c>
      <c r="D603" s="130" t="s">
        <v>26</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Accesibilidad</v>
      </c>
      <c r="C604" s="114" t="str" cm="1">
        <f t="array" ref="C604">IFERROR(INDEX('03.Muestra'!$F$8:$F$42,SMALL(IF("Página Web"='03.Muestra'!$D$8:$D$42,ROW('03.Muestra'!$F$8:$F$42)-MIN(ROW('03.Muestra'!$D$8:$D$42))+1,""),ROW()-588)),"")</f>
        <v>https://www.comunidad.madrid/hospital/clinicosancarlos/declaracion-accesibilidad</v>
      </c>
      <c r="D604" s="130" t="s">
        <v>26</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ref="D605:D623" si="31">IF(AND(B605&lt;&gt;"",C605&lt;&gt;""),"N/T","")</f>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268</v>
      </c>
      <c r="B626" s="24" t="s">
        <v>90</v>
      </c>
      <c r="C626" s="25" t="s">
        <v>389</v>
      </c>
      <c r="D626" s="26" t="s">
        <v>32</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https://www.comunidad.madrid/hospital/clinicosancarlos/</v>
      </c>
      <c r="D627" s="130" t="s">
        <v>26</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https://www.comunidad.madrid/hospital/clinicosancarlos/ciudadanos</v>
      </c>
      <c r="D628" s="130" t="s">
        <v>26</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7</v>
      </c>
      <c r="J628" s="120">
        <f ca="1">COUNTIF($D627:INDIRECT("$D" &amp;  SUM(ROW()-1,'03.Muestra'!$D$45)-1),J627)</f>
        <v>9</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Consultas externas</v>
      </c>
      <c r="C629" s="114" t="str" cm="1">
        <f t="array" ref="C629">IFERROR(INDEX('03.Muestra'!$F$8:$F$42,SMALL(IF("Página Web"='03.Muestra'!$D$8:$D$42,ROW('03.Muestra'!$F$8:$F$42)-MIN(ROW('03.Muestra'!$D$8:$D$42))+1,""),ROW()-626)),"")</f>
        <v>https://www.comunidad.madrid/hospital/clinicosancarlos/ciudadanos/consultas-externas</v>
      </c>
      <c r="D629" s="130" t="s">
        <v>28</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Donación</v>
      </c>
      <c r="C630" s="114" t="str" cm="1">
        <f t="array" ref="C630">IFERROR(INDEX('03.Muestra'!$F$8:$F$42,SMALL(IF("Página Web"='03.Muestra'!$D$8:$D$42,ROW('03.Muestra'!$F$8:$F$42)-MIN(ROW('03.Muestra'!$D$8:$D$42))+1,""),ROW()-626)),"")</f>
        <v>https://www.comunidad.madrid/hospital/clinicosancarlos/ciudadanos/donacion-0</v>
      </c>
      <c r="D630" s="130" t="s">
        <v>28</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Profesionales</v>
      </c>
      <c r="C631" s="114" t="str" cm="1">
        <f t="array" ref="C631">IFERROR(INDEX('03.Muestra'!$F$8:$F$42,SMALL(IF("Página Web"='03.Muestra'!$D$8:$D$42,ROW('03.Muestra'!$F$8:$F$42)-MIN(ROW('03.Muestra'!$D$8:$D$42))+1,""),ROW()-626)),"")</f>
        <v>https://www.comunidad.madrid/hospital/clinicosancarlos/profesionales</v>
      </c>
      <c r="D631" s="130" t="s">
        <v>26</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Docencia</v>
      </c>
      <c r="C632" s="114" t="str" cm="1">
        <f t="array" ref="C632">IFERROR(INDEX('03.Muestra'!$F$8:$F$42,SMALL(IF("Página Web"='03.Muestra'!$D$8:$D$42,ROW('03.Muestra'!$F$8:$F$42)-MIN(ROW('03.Muestra'!$D$8:$D$42))+1,""),ROW()-626)),"")</f>
        <v>https://www.comunidad.madrid/hospital/clinicosancarlos/profesionales/docencia</v>
      </c>
      <c r="D632" s="130" t="s">
        <v>28</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Referencia</v>
      </c>
      <c r="C633" s="114" t="str" cm="1">
        <f t="array" ref="C633">IFERROR(INDEX('03.Muestra'!$F$8:$F$42,SMALL(IF("Página Web"='03.Muestra'!$D$8:$D$42,ROW('03.Muestra'!$F$8:$F$42)-MIN(ROW('03.Muestra'!$D$8:$D$42))+1,""),ROW()-626)),"")</f>
        <v>https://www.comunidad.madrid/hospital/clinicosancarlos/profesionales/unidades-referencia-nacional-redes-europeas</v>
      </c>
      <c r="D633" s="130" t="s">
        <v>28</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Comunicación</v>
      </c>
      <c r="C634" s="114" t="str" cm="1">
        <f t="array" ref="C634">IFERROR(INDEX('03.Muestra'!$F$8:$F$42,SMALL(IF("Página Web"='03.Muestra'!$D$8:$D$42,ROW('03.Muestra'!$F$8:$F$42)-MIN(ROW('03.Muestra'!$D$8:$D$42))+1,""),ROW()-626)),"")</f>
        <v>https://www.comunidad.madrid/hospital/clinicosancarlos/comunicacion</v>
      </c>
      <c r="D634" s="130" t="s">
        <v>26</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Videoteca</v>
      </c>
      <c r="C635" s="114" t="str" cm="1">
        <f t="array" ref="C635">IFERROR(INDEX('03.Muestra'!$F$8:$F$42,SMALL(IF("Página Web"='03.Muestra'!$D$8:$D$42,ROW('03.Muestra'!$F$8:$F$42)-MIN(ROW('03.Muestra'!$D$8:$D$42))+1,""),ROW()-626)),"")</f>
        <v>https://www.comunidad.madrid/hospital/clinicosancarlos/comunicacion/videoteca</v>
      </c>
      <c r="D635" s="130" t="s">
        <v>26</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Noticias</v>
      </c>
      <c r="C636" s="114" t="str" cm="1">
        <f t="array" ref="C636">IFERROR(INDEX('03.Muestra'!$F$8:$F$42,SMALL(IF("Página Web"='03.Muestra'!$D$8:$D$42,ROW('03.Muestra'!$F$8:$F$42)-MIN(ROW('03.Muestra'!$D$8:$D$42))+1,""),ROW()-626)),"")</f>
        <v>https://www.comunidad.madrid/hospital/clinicosancarlos/comunicacion/noticias</v>
      </c>
      <c r="D636" s="130" t="s">
        <v>26</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Nosotros</v>
      </c>
      <c r="C637" s="114" t="str" cm="1">
        <f t="array" ref="C637">IFERROR(INDEX('03.Muestra'!$F$8:$F$42,SMALL(IF("Página Web"='03.Muestra'!$D$8:$D$42,ROW('03.Muestra'!$F$8:$F$42)-MIN(ROW('03.Muestra'!$D$8:$D$42))+1,""),ROW()-626)),"")</f>
        <v>https://www.comunidad.madrid/hospital/clinicosancarlos/nosotros</v>
      </c>
      <c r="D637" s="130" t="s">
        <v>26</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Gestión Ambiental</v>
      </c>
      <c r="C638" s="114" t="str" cm="1">
        <f t="array" ref="C638">IFERROR(INDEX('03.Muestra'!$F$8:$F$42,SMALL(IF("Página Web"='03.Muestra'!$D$8:$D$42,ROW('03.Muestra'!$F$8:$F$42)-MIN(ROW('03.Muestra'!$D$8:$D$42))+1,""),ROW()-626)),"")</f>
        <v>https://www.comunidad.madrid/hospital/clinicosancarlos/nosotros/gestion-ambiental</v>
      </c>
      <c r="D638" s="130" t="s">
        <v>28</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Proveedores</v>
      </c>
      <c r="C639" s="114" t="str" cm="1">
        <f t="array" ref="C639">IFERROR(INDEX('03.Muestra'!$F$8:$F$42,SMALL(IF("Página Web"='03.Muestra'!$D$8:$D$42,ROW('03.Muestra'!$F$8:$F$42)-MIN(ROW('03.Muestra'!$D$8:$D$42))+1,""),ROW()-626)),"")</f>
        <v>https://www.comunidad.madrid/hospital/clinicosancarlos/nosotros/proveedores-0</v>
      </c>
      <c r="D639" s="130" t="s">
        <v>28</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Aviso legal</v>
      </c>
      <c r="C640" s="114" t="str" cm="1">
        <f t="array" ref="C640">IFERROR(INDEX('03.Muestra'!$F$8:$F$42,SMALL(IF("Página Web"='03.Muestra'!$D$8:$D$42,ROW('03.Muestra'!$F$8:$F$42)-MIN(ROW('03.Muestra'!$D$8:$D$42))+1,""),ROW()-626)),"")</f>
        <v>https://www.comunidad.madrid/hospital/clinicosancarlos/aviso-legal-privacidad</v>
      </c>
      <c r="D640" s="130" t="s">
        <v>28</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Mapa web</v>
      </c>
      <c r="C641" s="114" t="str" cm="1">
        <f t="array" ref="C641">IFERROR(INDEX('03.Muestra'!$F$8:$F$42,SMALL(IF("Página Web"='03.Muestra'!$D$8:$D$42,ROW('03.Muestra'!$F$8:$F$42)-MIN(ROW('03.Muestra'!$D$8:$D$42))+1,""),ROW()-626)),"")</f>
        <v>https://www.comunidad.madrid/hospital/clinicosancarlos/sitemap</v>
      </c>
      <c r="D641" s="130" t="s">
        <v>26</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Accesibilidad</v>
      </c>
      <c r="C642" s="114" t="str" cm="1">
        <f t="array" ref="C642">IFERROR(INDEX('03.Muestra'!$F$8:$F$42,SMALL(IF("Página Web"='03.Muestra'!$D$8:$D$42,ROW('03.Muestra'!$F$8:$F$42)-MIN(ROW('03.Muestra'!$D$8:$D$42))+1,""),ROW()-626)),"")</f>
        <v>https://www.comunidad.madrid/hospital/clinicosancarlos/declaracion-accesibilidad</v>
      </c>
      <c r="D642" s="130" t="s">
        <v>26</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ref="D643:D661" si="33">IF(AND(B643&lt;&gt;"",C643&lt;&gt;""),"N/T","")</f>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268</v>
      </c>
      <c r="B664" s="24" t="s">
        <v>90</v>
      </c>
      <c r="C664" s="25" t="s">
        <v>390</v>
      </c>
      <c r="D664" s="26" t="s">
        <v>32</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https://www.comunidad.madrid/hospital/clinicosancarlos/</v>
      </c>
      <c r="D665" s="130" t="s">
        <v>26</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https://www.comunidad.madrid/hospital/clinicosancarlos/ciudadanos</v>
      </c>
      <c r="D666" s="130" t="s">
        <v>26</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16</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Consultas externas</v>
      </c>
      <c r="C667" s="114" t="str" cm="1">
        <f t="array" ref="C667">IFERROR(INDEX('03.Muestra'!$F$8:$F$42,SMALL(IF("Página Web"='03.Muestra'!$D$8:$D$42,ROW('03.Muestra'!$F$8:$F$42)-MIN(ROW('03.Muestra'!$D$8:$D$42))+1,""),ROW()-664)),"")</f>
        <v>https://www.comunidad.madrid/hospital/clinicosancarlos/ciudadanos/consultas-externas</v>
      </c>
      <c r="D667" s="130" t="s">
        <v>26</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Donación</v>
      </c>
      <c r="C668" s="114" t="str" cm="1">
        <f t="array" ref="C668">IFERROR(INDEX('03.Muestra'!$F$8:$F$42,SMALL(IF("Página Web"='03.Muestra'!$D$8:$D$42,ROW('03.Muestra'!$F$8:$F$42)-MIN(ROW('03.Muestra'!$D$8:$D$42))+1,""),ROW()-664)),"")</f>
        <v>https://www.comunidad.madrid/hospital/clinicosancarlos/ciudadanos/donacion-0</v>
      </c>
      <c r="D668" s="130" t="s">
        <v>26</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Profesionales</v>
      </c>
      <c r="C669" s="114" t="str" cm="1">
        <f t="array" ref="C669">IFERROR(INDEX('03.Muestra'!$F$8:$F$42,SMALL(IF("Página Web"='03.Muestra'!$D$8:$D$42,ROW('03.Muestra'!$F$8:$F$42)-MIN(ROW('03.Muestra'!$D$8:$D$42))+1,""),ROW()-664)),"")</f>
        <v>https://www.comunidad.madrid/hospital/clinicosancarlos/profesionales</v>
      </c>
      <c r="D669" s="130" t="s">
        <v>26</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Docencia</v>
      </c>
      <c r="C670" s="114" t="str" cm="1">
        <f t="array" ref="C670">IFERROR(INDEX('03.Muestra'!$F$8:$F$42,SMALL(IF("Página Web"='03.Muestra'!$D$8:$D$42,ROW('03.Muestra'!$F$8:$F$42)-MIN(ROW('03.Muestra'!$D$8:$D$42))+1,""),ROW()-664)),"")</f>
        <v>https://www.comunidad.madrid/hospital/clinicosancarlos/profesionales/docencia</v>
      </c>
      <c r="D670" s="130" t="s">
        <v>26</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Referencia</v>
      </c>
      <c r="C671" s="114" t="str" cm="1">
        <f t="array" ref="C671">IFERROR(INDEX('03.Muestra'!$F$8:$F$42,SMALL(IF("Página Web"='03.Muestra'!$D$8:$D$42,ROW('03.Muestra'!$F$8:$F$42)-MIN(ROW('03.Muestra'!$D$8:$D$42))+1,""),ROW()-664)),"")</f>
        <v>https://www.comunidad.madrid/hospital/clinicosancarlos/profesionales/unidades-referencia-nacional-redes-europeas</v>
      </c>
      <c r="D671" s="130" t="s">
        <v>26</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Comunicación</v>
      </c>
      <c r="C672" s="114" t="str" cm="1">
        <f t="array" ref="C672">IFERROR(INDEX('03.Muestra'!$F$8:$F$42,SMALL(IF("Página Web"='03.Muestra'!$D$8:$D$42,ROW('03.Muestra'!$F$8:$F$42)-MIN(ROW('03.Muestra'!$D$8:$D$42))+1,""),ROW()-664)),"")</f>
        <v>https://www.comunidad.madrid/hospital/clinicosancarlos/comunicacion</v>
      </c>
      <c r="D672" s="130" t="s">
        <v>26</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Videoteca</v>
      </c>
      <c r="C673" s="114" t="str" cm="1">
        <f t="array" ref="C673">IFERROR(INDEX('03.Muestra'!$F$8:$F$42,SMALL(IF("Página Web"='03.Muestra'!$D$8:$D$42,ROW('03.Muestra'!$F$8:$F$42)-MIN(ROW('03.Muestra'!$D$8:$D$42))+1,""),ROW()-664)),"")</f>
        <v>https://www.comunidad.madrid/hospital/clinicosancarlos/comunicacion/videoteca</v>
      </c>
      <c r="D673" s="130" t="s">
        <v>26</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Noticias</v>
      </c>
      <c r="C674" s="114" t="str" cm="1">
        <f t="array" ref="C674">IFERROR(INDEX('03.Muestra'!$F$8:$F$42,SMALL(IF("Página Web"='03.Muestra'!$D$8:$D$42,ROW('03.Muestra'!$F$8:$F$42)-MIN(ROW('03.Muestra'!$D$8:$D$42))+1,""),ROW()-664)),"")</f>
        <v>https://www.comunidad.madrid/hospital/clinicosancarlos/comunicacion/noticias</v>
      </c>
      <c r="D674" s="130" t="s">
        <v>26</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Nosotros</v>
      </c>
      <c r="C675" s="114" t="str" cm="1">
        <f t="array" ref="C675">IFERROR(INDEX('03.Muestra'!$F$8:$F$42,SMALL(IF("Página Web"='03.Muestra'!$D$8:$D$42,ROW('03.Muestra'!$F$8:$F$42)-MIN(ROW('03.Muestra'!$D$8:$D$42))+1,""),ROW()-664)),"")</f>
        <v>https://www.comunidad.madrid/hospital/clinicosancarlos/nosotros</v>
      </c>
      <c r="D675" s="130" t="s">
        <v>26</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Gestión Ambiental</v>
      </c>
      <c r="C676" s="114" t="str" cm="1">
        <f t="array" ref="C676">IFERROR(INDEX('03.Muestra'!$F$8:$F$42,SMALL(IF("Página Web"='03.Muestra'!$D$8:$D$42,ROW('03.Muestra'!$F$8:$F$42)-MIN(ROW('03.Muestra'!$D$8:$D$42))+1,""),ROW()-664)),"")</f>
        <v>https://www.comunidad.madrid/hospital/clinicosancarlos/nosotros/gestion-ambiental</v>
      </c>
      <c r="D676" s="130" t="s">
        <v>26</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Proveedores</v>
      </c>
      <c r="C677" s="114" t="str" cm="1">
        <f t="array" ref="C677">IFERROR(INDEX('03.Muestra'!$F$8:$F$42,SMALL(IF("Página Web"='03.Muestra'!$D$8:$D$42,ROW('03.Muestra'!$F$8:$F$42)-MIN(ROW('03.Muestra'!$D$8:$D$42))+1,""),ROW()-664)),"")</f>
        <v>https://www.comunidad.madrid/hospital/clinicosancarlos/nosotros/proveedores-0</v>
      </c>
      <c r="D677" s="130" t="s">
        <v>26</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Aviso legal</v>
      </c>
      <c r="C678" s="114" t="str" cm="1">
        <f t="array" ref="C678">IFERROR(INDEX('03.Muestra'!$F$8:$F$42,SMALL(IF("Página Web"='03.Muestra'!$D$8:$D$42,ROW('03.Muestra'!$F$8:$F$42)-MIN(ROW('03.Muestra'!$D$8:$D$42))+1,""),ROW()-664)),"")</f>
        <v>https://www.comunidad.madrid/hospital/clinicosancarlos/aviso-legal-privacidad</v>
      </c>
      <c r="D678" s="130" t="s">
        <v>26</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Mapa web</v>
      </c>
      <c r="C679" s="114" t="str" cm="1">
        <f t="array" ref="C679">IFERROR(INDEX('03.Muestra'!$F$8:$F$42,SMALL(IF("Página Web"='03.Muestra'!$D$8:$D$42,ROW('03.Muestra'!$F$8:$F$42)-MIN(ROW('03.Muestra'!$D$8:$D$42))+1,""),ROW()-664)),"")</f>
        <v>https://www.comunidad.madrid/hospital/clinicosancarlos/sitemap</v>
      </c>
      <c r="D679" s="130" t="s">
        <v>26</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Accesibilidad</v>
      </c>
      <c r="C680" s="114" t="str" cm="1">
        <f t="array" ref="C680">IFERROR(INDEX('03.Muestra'!$F$8:$F$42,SMALL(IF("Página Web"='03.Muestra'!$D$8:$D$42,ROW('03.Muestra'!$F$8:$F$42)-MIN(ROW('03.Muestra'!$D$8:$D$42))+1,""),ROW()-664)),"")</f>
        <v>https://www.comunidad.madrid/hospital/clinicosancarlos/declaracion-accesibilidad</v>
      </c>
      <c r="D680" s="130" t="s">
        <v>26</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ref="D681:D699" si="35">IF(AND(B681&lt;&gt;"",C681&lt;&gt;""),"N/T","")</f>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268</v>
      </c>
      <c r="B702" s="24" t="s">
        <v>90</v>
      </c>
      <c r="C702" s="25" t="s">
        <v>391</v>
      </c>
      <c r="D702" s="26" t="s">
        <v>32</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https://www.comunidad.madrid/hospital/clinicosancarlos/</v>
      </c>
      <c r="D703" s="130" t="s">
        <v>26</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https://www.comunidad.madrid/hospital/clinicosancarlos/ciudadanos</v>
      </c>
      <c r="D704" s="130" t="s">
        <v>26</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16</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Consultas externas</v>
      </c>
      <c r="C705" s="114" t="str" cm="1">
        <f t="array" ref="C705">IFERROR(INDEX('03.Muestra'!$F$8:$F$42,SMALL(IF("Página Web"='03.Muestra'!$D$8:$D$42,ROW('03.Muestra'!$F$8:$F$42)-MIN(ROW('03.Muestra'!$D$8:$D$42))+1,""),ROW()-702)),"")</f>
        <v>https://www.comunidad.madrid/hospital/clinicosancarlos/ciudadanos/consultas-externas</v>
      </c>
      <c r="D705" s="130" t="s">
        <v>26</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Donación</v>
      </c>
      <c r="C706" s="114" t="str" cm="1">
        <f t="array" ref="C706">IFERROR(INDEX('03.Muestra'!$F$8:$F$42,SMALL(IF("Página Web"='03.Muestra'!$D$8:$D$42,ROW('03.Muestra'!$F$8:$F$42)-MIN(ROW('03.Muestra'!$D$8:$D$42))+1,""),ROW()-702)),"")</f>
        <v>https://www.comunidad.madrid/hospital/clinicosancarlos/ciudadanos/donacion-0</v>
      </c>
      <c r="D706" s="130" t="s">
        <v>26</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Profesionales</v>
      </c>
      <c r="C707" s="114" t="str" cm="1">
        <f t="array" ref="C707">IFERROR(INDEX('03.Muestra'!$F$8:$F$42,SMALL(IF("Página Web"='03.Muestra'!$D$8:$D$42,ROW('03.Muestra'!$F$8:$F$42)-MIN(ROW('03.Muestra'!$D$8:$D$42))+1,""),ROW()-702)),"")</f>
        <v>https://www.comunidad.madrid/hospital/clinicosancarlos/profesionales</v>
      </c>
      <c r="D707" s="130" t="s">
        <v>26</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Docencia</v>
      </c>
      <c r="C708" s="114" t="str" cm="1">
        <f t="array" ref="C708">IFERROR(INDEX('03.Muestra'!$F$8:$F$42,SMALL(IF("Página Web"='03.Muestra'!$D$8:$D$42,ROW('03.Muestra'!$F$8:$F$42)-MIN(ROW('03.Muestra'!$D$8:$D$42))+1,""),ROW()-702)),"")</f>
        <v>https://www.comunidad.madrid/hospital/clinicosancarlos/profesionales/docencia</v>
      </c>
      <c r="D708" s="130" t="s">
        <v>26</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Referencia</v>
      </c>
      <c r="C709" s="114" t="str" cm="1">
        <f t="array" ref="C709">IFERROR(INDEX('03.Muestra'!$F$8:$F$42,SMALL(IF("Página Web"='03.Muestra'!$D$8:$D$42,ROW('03.Muestra'!$F$8:$F$42)-MIN(ROW('03.Muestra'!$D$8:$D$42))+1,""),ROW()-702)),"")</f>
        <v>https://www.comunidad.madrid/hospital/clinicosancarlos/profesionales/unidades-referencia-nacional-redes-europeas</v>
      </c>
      <c r="D709" s="130" t="s">
        <v>26</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Comunicación</v>
      </c>
      <c r="C710" s="114" t="str" cm="1">
        <f t="array" ref="C710">IFERROR(INDEX('03.Muestra'!$F$8:$F$42,SMALL(IF("Página Web"='03.Muestra'!$D$8:$D$42,ROW('03.Muestra'!$F$8:$F$42)-MIN(ROW('03.Muestra'!$D$8:$D$42))+1,""),ROW()-702)),"")</f>
        <v>https://www.comunidad.madrid/hospital/clinicosancarlos/comunicacion</v>
      </c>
      <c r="D710" s="130" t="s">
        <v>26</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Videoteca</v>
      </c>
      <c r="C711" s="114" t="str" cm="1">
        <f t="array" ref="C711">IFERROR(INDEX('03.Muestra'!$F$8:$F$42,SMALL(IF("Página Web"='03.Muestra'!$D$8:$D$42,ROW('03.Muestra'!$F$8:$F$42)-MIN(ROW('03.Muestra'!$D$8:$D$42))+1,""),ROW()-702)),"")</f>
        <v>https://www.comunidad.madrid/hospital/clinicosancarlos/comunicacion/videoteca</v>
      </c>
      <c r="D711" s="130" t="s">
        <v>26</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Noticias</v>
      </c>
      <c r="C712" s="114" t="str" cm="1">
        <f t="array" ref="C712">IFERROR(INDEX('03.Muestra'!$F$8:$F$42,SMALL(IF("Página Web"='03.Muestra'!$D$8:$D$42,ROW('03.Muestra'!$F$8:$F$42)-MIN(ROW('03.Muestra'!$D$8:$D$42))+1,""),ROW()-702)),"")</f>
        <v>https://www.comunidad.madrid/hospital/clinicosancarlos/comunicacion/noticias</v>
      </c>
      <c r="D712" s="130" t="s">
        <v>26</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Nosotros</v>
      </c>
      <c r="C713" s="114" t="str" cm="1">
        <f t="array" ref="C713">IFERROR(INDEX('03.Muestra'!$F$8:$F$42,SMALL(IF("Página Web"='03.Muestra'!$D$8:$D$42,ROW('03.Muestra'!$F$8:$F$42)-MIN(ROW('03.Muestra'!$D$8:$D$42))+1,""),ROW()-702)),"")</f>
        <v>https://www.comunidad.madrid/hospital/clinicosancarlos/nosotros</v>
      </c>
      <c r="D713" s="130" t="s">
        <v>26</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Gestión Ambiental</v>
      </c>
      <c r="C714" s="114" t="str" cm="1">
        <f t="array" ref="C714">IFERROR(INDEX('03.Muestra'!$F$8:$F$42,SMALL(IF("Página Web"='03.Muestra'!$D$8:$D$42,ROW('03.Muestra'!$F$8:$F$42)-MIN(ROW('03.Muestra'!$D$8:$D$42))+1,""),ROW()-702)),"")</f>
        <v>https://www.comunidad.madrid/hospital/clinicosancarlos/nosotros/gestion-ambiental</v>
      </c>
      <c r="D714" s="130" t="s">
        <v>26</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Proveedores</v>
      </c>
      <c r="C715" s="114" t="str" cm="1">
        <f t="array" ref="C715">IFERROR(INDEX('03.Muestra'!$F$8:$F$42,SMALL(IF("Página Web"='03.Muestra'!$D$8:$D$42,ROW('03.Muestra'!$F$8:$F$42)-MIN(ROW('03.Muestra'!$D$8:$D$42))+1,""),ROW()-702)),"")</f>
        <v>https://www.comunidad.madrid/hospital/clinicosancarlos/nosotros/proveedores-0</v>
      </c>
      <c r="D715" s="130" t="s">
        <v>26</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Aviso legal</v>
      </c>
      <c r="C716" s="114" t="str" cm="1">
        <f t="array" ref="C716">IFERROR(INDEX('03.Muestra'!$F$8:$F$42,SMALL(IF("Página Web"='03.Muestra'!$D$8:$D$42,ROW('03.Muestra'!$F$8:$F$42)-MIN(ROW('03.Muestra'!$D$8:$D$42))+1,""),ROW()-702)),"")</f>
        <v>https://www.comunidad.madrid/hospital/clinicosancarlos/aviso-legal-privacidad</v>
      </c>
      <c r="D716" s="130" t="s">
        <v>26</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Mapa web</v>
      </c>
      <c r="C717" s="114" t="str" cm="1">
        <f t="array" ref="C717">IFERROR(INDEX('03.Muestra'!$F$8:$F$42,SMALL(IF("Página Web"='03.Muestra'!$D$8:$D$42,ROW('03.Muestra'!$F$8:$F$42)-MIN(ROW('03.Muestra'!$D$8:$D$42))+1,""),ROW()-702)),"")</f>
        <v>https://www.comunidad.madrid/hospital/clinicosancarlos/sitemap</v>
      </c>
      <c r="D717" s="130" t="s">
        <v>26</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Accesibilidad</v>
      </c>
      <c r="C718" s="114" t="str" cm="1">
        <f t="array" ref="C718">IFERROR(INDEX('03.Muestra'!$F$8:$F$42,SMALL(IF("Página Web"='03.Muestra'!$D$8:$D$42,ROW('03.Muestra'!$F$8:$F$42)-MIN(ROW('03.Muestra'!$D$8:$D$42))+1,""),ROW()-702)),"")</f>
        <v>https://www.comunidad.madrid/hospital/clinicosancarlos/declaracion-accesibilidad</v>
      </c>
      <c r="D718" s="130" t="s">
        <v>26</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ref="D719:D737" si="37">IF(AND(B719&lt;&gt;"",C719&lt;&gt;""),"N/T","")</f>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268</v>
      </c>
      <c r="B740" s="24" t="s">
        <v>90</v>
      </c>
      <c r="C740" s="25" t="s">
        <v>392</v>
      </c>
      <c r="D740" s="26" t="s">
        <v>32</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https://www.comunidad.madrid/hospital/clinicosancarlos/</v>
      </c>
      <c r="D741" s="130" t="s">
        <v>26</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Ciudadanos</v>
      </c>
      <c r="C742" s="114" t="str" cm="1">
        <f t="array" ref="C742">IFERROR(INDEX('03.Muestra'!$F$8:$F$42,SMALL(IF("Página Web"='03.Muestra'!$D$8:$D$42,ROW('03.Muestra'!$F$8:$F$42)-MIN(ROW('03.Muestra'!$D$8:$D$42))+1,""),ROW()-740)),"")</f>
        <v>https://www.comunidad.madrid/hospital/clinicosancarlos/ciudadanos</v>
      </c>
      <c r="D742" s="130" t="s">
        <v>26</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1</v>
      </c>
      <c r="J742" s="120">
        <f ca="1">COUNTIF($D741:INDIRECT("$D" &amp;  SUM(ROW()-1,'03.Muestra'!$D$45)-1),J741)</f>
        <v>15</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Consultas externas</v>
      </c>
      <c r="C743" s="114" t="str" cm="1">
        <f t="array" ref="C743">IFERROR(INDEX('03.Muestra'!$F$8:$F$42,SMALL(IF("Página Web"='03.Muestra'!$D$8:$D$42,ROW('03.Muestra'!$F$8:$F$42)-MIN(ROW('03.Muestra'!$D$8:$D$42))+1,""),ROW()-740)),"")</f>
        <v>https://www.comunidad.madrid/hospital/clinicosancarlos/ciudadanos/consultas-externas</v>
      </c>
      <c r="D743" s="130" t="s">
        <v>26</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Donación</v>
      </c>
      <c r="C744" s="114" t="str" cm="1">
        <f t="array" ref="C744">IFERROR(INDEX('03.Muestra'!$F$8:$F$42,SMALL(IF("Página Web"='03.Muestra'!$D$8:$D$42,ROW('03.Muestra'!$F$8:$F$42)-MIN(ROW('03.Muestra'!$D$8:$D$42))+1,""),ROW()-740)),"")</f>
        <v>https://www.comunidad.madrid/hospital/clinicosancarlos/ciudadanos/donacion-0</v>
      </c>
      <c r="D744" s="130" t="s">
        <v>26</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Profesionales</v>
      </c>
      <c r="C745" s="114" t="str" cm="1">
        <f t="array" ref="C745">IFERROR(INDEX('03.Muestra'!$F$8:$F$42,SMALL(IF("Página Web"='03.Muestra'!$D$8:$D$42,ROW('03.Muestra'!$F$8:$F$42)-MIN(ROW('03.Muestra'!$D$8:$D$42))+1,""),ROW()-740)),"")</f>
        <v>https://www.comunidad.madrid/hospital/clinicosancarlos/profesionales</v>
      </c>
      <c r="D745" s="130" t="s">
        <v>26</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Docencia</v>
      </c>
      <c r="C746" s="114" t="str" cm="1">
        <f t="array" ref="C746">IFERROR(INDEX('03.Muestra'!$F$8:$F$42,SMALL(IF("Página Web"='03.Muestra'!$D$8:$D$42,ROW('03.Muestra'!$F$8:$F$42)-MIN(ROW('03.Muestra'!$D$8:$D$42))+1,""),ROW()-740)),"")</f>
        <v>https://www.comunidad.madrid/hospital/clinicosancarlos/profesionales/docencia</v>
      </c>
      <c r="D746" s="130" t="s">
        <v>26</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Referencia</v>
      </c>
      <c r="C747" s="114" t="str" cm="1">
        <f t="array" ref="C747">IFERROR(INDEX('03.Muestra'!$F$8:$F$42,SMALL(IF("Página Web"='03.Muestra'!$D$8:$D$42,ROW('03.Muestra'!$F$8:$F$42)-MIN(ROW('03.Muestra'!$D$8:$D$42))+1,""),ROW()-740)),"")</f>
        <v>https://www.comunidad.madrid/hospital/clinicosancarlos/profesionales/unidades-referencia-nacional-redes-europeas</v>
      </c>
      <c r="D747" s="130" t="s">
        <v>26</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Comunicación</v>
      </c>
      <c r="C748" s="114" t="str" cm="1">
        <f t="array" ref="C748">IFERROR(INDEX('03.Muestra'!$F$8:$F$42,SMALL(IF("Página Web"='03.Muestra'!$D$8:$D$42,ROW('03.Muestra'!$F$8:$F$42)-MIN(ROW('03.Muestra'!$D$8:$D$42))+1,""),ROW()-740)),"")</f>
        <v>https://www.comunidad.madrid/hospital/clinicosancarlos/comunicacion</v>
      </c>
      <c r="D748" s="130" t="s">
        <v>26</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Videoteca</v>
      </c>
      <c r="C749" s="114" t="str" cm="1">
        <f t="array" ref="C749">IFERROR(INDEX('03.Muestra'!$F$8:$F$42,SMALL(IF("Página Web"='03.Muestra'!$D$8:$D$42,ROW('03.Muestra'!$F$8:$F$42)-MIN(ROW('03.Muestra'!$D$8:$D$42))+1,""),ROW()-740)),"")</f>
        <v>https://www.comunidad.madrid/hospital/clinicosancarlos/comunicacion/videoteca</v>
      </c>
      <c r="D749" s="130" t="s">
        <v>26</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Noticias</v>
      </c>
      <c r="C750" s="114" t="str" cm="1">
        <f t="array" ref="C750">IFERROR(INDEX('03.Muestra'!$F$8:$F$42,SMALL(IF("Página Web"='03.Muestra'!$D$8:$D$42,ROW('03.Muestra'!$F$8:$F$42)-MIN(ROW('03.Muestra'!$D$8:$D$42))+1,""),ROW()-740)),"")</f>
        <v>https://www.comunidad.madrid/hospital/clinicosancarlos/comunicacion/noticias</v>
      </c>
      <c r="D750" s="130" t="s">
        <v>26</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Nosotros</v>
      </c>
      <c r="C751" s="114" t="str" cm="1">
        <f t="array" ref="C751">IFERROR(INDEX('03.Muestra'!$F$8:$F$42,SMALL(IF("Página Web"='03.Muestra'!$D$8:$D$42,ROW('03.Muestra'!$F$8:$F$42)-MIN(ROW('03.Muestra'!$D$8:$D$42))+1,""),ROW()-740)),"")</f>
        <v>https://www.comunidad.madrid/hospital/clinicosancarlos/nosotros</v>
      </c>
      <c r="D751" s="130" t="s">
        <v>28</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Gestión Ambiental</v>
      </c>
      <c r="C752" s="114" t="str" cm="1">
        <f t="array" ref="C752">IFERROR(INDEX('03.Muestra'!$F$8:$F$42,SMALL(IF("Página Web"='03.Muestra'!$D$8:$D$42,ROW('03.Muestra'!$F$8:$F$42)-MIN(ROW('03.Muestra'!$D$8:$D$42))+1,""),ROW()-740)),"")</f>
        <v>https://www.comunidad.madrid/hospital/clinicosancarlos/nosotros/gestion-ambiental</v>
      </c>
      <c r="D752" s="130" t="s">
        <v>26</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Proveedores</v>
      </c>
      <c r="C753" s="114" t="str" cm="1">
        <f t="array" ref="C753">IFERROR(INDEX('03.Muestra'!$F$8:$F$42,SMALL(IF("Página Web"='03.Muestra'!$D$8:$D$42,ROW('03.Muestra'!$F$8:$F$42)-MIN(ROW('03.Muestra'!$D$8:$D$42))+1,""),ROW()-740)),"")</f>
        <v>https://www.comunidad.madrid/hospital/clinicosancarlos/nosotros/proveedores-0</v>
      </c>
      <c r="D753" s="130" t="s">
        <v>26</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Aviso legal</v>
      </c>
      <c r="C754" s="114" t="str" cm="1">
        <f t="array" ref="C754">IFERROR(INDEX('03.Muestra'!$F$8:$F$42,SMALL(IF("Página Web"='03.Muestra'!$D$8:$D$42,ROW('03.Muestra'!$F$8:$F$42)-MIN(ROW('03.Muestra'!$D$8:$D$42))+1,""),ROW()-740)),"")</f>
        <v>https://www.comunidad.madrid/hospital/clinicosancarlos/aviso-legal-privacidad</v>
      </c>
      <c r="D754" s="130" t="s">
        <v>26</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Mapa web</v>
      </c>
      <c r="C755" s="114" t="str" cm="1">
        <f t="array" ref="C755">IFERROR(INDEX('03.Muestra'!$F$8:$F$42,SMALL(IF("Página Web"='03.Muestra'!$D$8:$D$42,ROW('03.Muestra'!$F$8:$F$42)-MIN(ROW('03.Muestra'!$D$8:$D$42))+1,""),ROW()-740)),"")</f>
        <v>https://www.comunidad.madrid/hospital/clinicosancarlos/sitemap</v>
      </c>
      <c r="D755" s="130" t="s">
        <v>26</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Accesibilidad</v>
      </c>
      <c r="C756" s="114" t="str" cm="1">
        <f t="array" ref="C756">IFERROR(INDEX('03.Muestra'!$F$8:$F$42,SMALL(IF("Página Web"='03.Muestra'!$D$8:$D$42,ROW('03.Muestra'!$F$8:$F$42)-MIN(ROW('03.Muestra'!$D$8:$D$42))+1,""),ROW()-740)),"")</f>
        <v>https://www.comunidad.madrid/hospital/clinicosancarlos/declaracion-accesibilidad</v>
      </c>
      <c r="D756" s="130" t="s">
        <v>26</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IFERROR(INDEX('03.Muestra'!$B$8:$B$42,SMALL(IF("Página Web"='03.Muestra'!$D$8:$D$42,ROW('03.Muestra'!$B$8:$B$42)-MIN(ROW('03.Muestra'!$D$8:$D$42))+1,""),ROW()-740)),"")</f>
        <v/>
      </c>
      <c r="B757" s="114" t="str" cm="1">
        <f t="array" ref="B757">IFERROR(INDEX('03.Muestra'!$C$8:$C$42,SMALL(IF("Página Web"='03.Muestra'!$D$8:$D$42,ROW('03.Muestra'!$C$8:$C$42)-MIN(ROW('03.Muestra'!$D$8:$D$42))+1,""),ROW()-740)),"")</f>
        <v/>
      </c>
      <c r="C757" s="114" t="str" cm="1">
        <f t="array" ref="C757">IFERROR(INDEX('03.Muestra'!$F$8:$F$42,SMALL(IF("Página Web"='03.Muestra'!$D$8:$D$42,ROW('03.Muestra'!$F$8:$F$42)-MIN(ROW('03.Muestra'!$D$8:$D$42))+1,""),ROW()-740)),"")</f>
        <v/>
      </c>
      <c r="D757" s="130" t="str">
        <f t="shared" ref="D757:D775" si="39">IF(AND(B757&lt;&gt;"",C757&lt;&gt;""),"N/T","")</f>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IFERROR(INDEX('03.Muestra'!$B$8:$B$42,SMALL(IF("Página Web"='03.Muestra'!$D$8:$D$42,ROW('03.Muestra'!$B$8:$B$42)-MIN(ROW('03.Muestra'!$D$8:$D$42))+1,""),ROW()-740)),"")</f>
        <v/>
      </c>
      <c r="B758" s="114" t="str" cm="1">
        <f t="array" ref="B758">IFERROR(INDEX('03.Muestra'!$C$8:$C$42,SMALL(IF("Página Web"='03.Muestra'!$D$8:$D$42,ROW('03.Muestra'!$C$8:$C$42)-MIN(ROW('03.Muestra'!$D$8:$D$42))+1,""),ROW()-740)),"")</f>
        <v/>
      </c>
      <c r="C758" s="114" t="str" cm="1">
        <f t="array" ref="C758">IFERROR(INDEX('03.Muestra'!$F$8:$F$42,SMALL(IF("Página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IFERROR(INDEX('03.Muestra'!$B$8:$B$42,SMALL(IF("Página Web"='03.Muestra'!$D$8:$D$42,ROW('03.Muestra'!$B$8:$B$42)-MIN(ROW('03.Muestra'!$D$8:$D$42))+1,""),ROW()-740)),"")</f>
        <v/>
      </c>
      <c r="B759" s="114" t="str" cm="1">
        <f t="array" ref="B759">IFERROR(INDEX('03.Muestra'!$C$8:$C$42,SMALL(IF("Página Web"='03.Muestra'!$D$8:$D$42,ROW('03.Muestra'!$C$8:$C$42)-MIN(ROW('03.Muestra'!$D$8:$D$42))+1,""),ROW()-740)),"")</f>
        <v/>
      </c>
      <c r="C759" s="114" t="str" cm="1">
        <f t="array" ref="C759">IFERROR(INDEX('03.Muestra'!$F$8:$F$42,SMALL(IF("Página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IFERROR(INDEX('03.Muestra'!$B$8:$B$42,SMALL(IF("Página Web"='03.Muestra'!$D$8:$D$42,ROW('03.Muestra'!$B$8:$B$42)-MIN(ROW('03.Muestra'!$D$8:$D$42))+1,""),ROW()-740)),"")</f>
        <v/>
      </c>
      <c r="B760" s="114" t="str" cm="1">
        <f t="array" ref="B760">IFERROR(INDEX('03.Muestra'!$C$8:$C$42,SMALL(IF("Página Web"='03.Muestra'!$D$8:$D$42,ROW('03.Muestra'!$C$8:$C$42)-MIN(ROW('03.Muestra'!$D$8:$D$42))+1,""),ROW()-740)),"")</f>
        <v/>
      </c>
      <c r="C760" s="114" t="str" cm="1">
        <f t="array" ref="C760">IFERROR(INDEX('03.Muestra'!$F$8:$F$42,SMALL(IF("Página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268</v>
      </c>
      <c r="B778" s="24" t="s">
        <v>90</v>
      </c>
      <c r="C778" s="25" t="s">
        <v>393</v>
      </c>
      <c r="D778" s="26" t="s">
        <v>32</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https://www.comunidad.madrid/hospital/clinicosancarlos/</v>
      </c>
      <c r="D779" s="130" t="s">
        <v>26</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Ciudadanos</v>
      </c>
      <c r="C780" s="114" t="str" cm="1">
        <f t="array" ref="C780">IFERROR(INDEX('03.Muestra'!$F$8:$F$42,SMALL(IF("Página Web"='03.Muestra'!$D$8:$D$42,ROW('03.Muestra'!$F$8:$F$42)-MIN(ROW('03.Muestra'!$D$8:$D$42))+1,""),ROW()-778)),"")</f>
        <v>https://www.comunidad.madrid/hospital/clinicosancarlos/ciudadanos</v>
      </c>
      <c r="D780" s="130" t="s">
        <v>26</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16</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Consultas externas</v>
      </c>
      <c r="C781" s="114" t="str" cm="1">
        <f t="array" ref="C781">IFERROR(INDEX('03.Muestra'!$F$8:$F$42,SMALL(IF("Página Web"='03.Muestra'!$D$8:$D$42,ROW('03.Muestra'!$F$8:$F$42)-MIN(ROW('03.Muestra'!$D$8:$D$42))+1,""),ROW()-778)),"")</f>
        <v>https://www.comunidad.madrid/hospital/clinicosancarlos/ciudadanos/consultas-externas</v>
      </c>
      <c r="D781" s="130" t="s">
        <v>26</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Donación</v>
      </c>
      <c r="C782" s="114" t="str" cm="1">
        <f t="array" ref="C782">IFERROR(INDEX('03.Muestra'!$F$8:$F$42,SMALL(IF("Página Web"='03.Muestra'!$D$8:$D$42,ROW('03.Muestra'!$F$8:$F$42)-MIN(ROW('03.Muestra'!$D$8:$D$42))+1,""),ROW()-778)),"")</f>
        <v>https://www.comunidad.madrid/hospital/clinicosancarlos/ciudadanos/donacion-0</v>
      </c>
      <c r="D782" s="130" t="s">
        <v>26</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Profesionales</v>
      </c>
      <c r="C783" s="114" t="str" cm="1">
        <f t="array" ref="C783">IFERROR(INDEX('03.Muestra'!$F$8:$F$42,SMALL(IF("Página Web"='03.Muestra'!$D$8:$D$42,ROW('03.Muestra'!$F$8:$F$42)-MIN(ROW('03.Muestra'!$D$8:$D$42))+1,""),ROW()-778)),"")</f>
        <v>https://www.comunidad.madrid/hospital/clinicosancarlos/profesionales</v>
      </c>
      <c r="D783" s="130" t="s">
        <v>26</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Docencia</v>
      </c>
      <c r="C784" s="114" t="str" cm="1">
        <f t="array" ref="C784">IFERROR(INDEX('03.Muestra'!$F$8:$F$42,SMALL(IF("Página Web"='03.Muestra'!$D$8:$D$42,ROW('03.Muestra'!$F$8:$F$42)-MIN(ROW('03.Muestra'!$D$8:$D$42))+1,""),ROW()-778)),"")</f>
        <v>https://www.comunidad.madrid/hospital/clinicosancarlos/profesionales/docencia</v>
      </c>
      <c r="D784" s="130" t="s">
        <v>26</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Referencia</v>
      </c>
      <c r="C785" s="114" t="str" cm="1">
        <f t="array" ref="C785">IFERROR(INDEX('03.Muestra'!$F$8:$F$42,SMALL(IF("Página Web"='03.Muestra'!$D$8:$D$42,ROW('03.Muestra'!$F$8:$F$42)-MIN(ROW('03.Muestra'!$D$8:$D$42))+1,""),ROW()-778)),"")</f>
        <v>https://www.comunidad.madrid/hospital/clinicosancarlos/profesionales/unidades-referencia-nacional-redes-europeas</v>
      </c>
      <c r="D785" s="130" t="s">
        <v>26</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Comunicación</v>
      </c>
      <c r="C786" s="114" t="str" cm="1">
        <f t="array" ref="C786">IFERROR(INDEX('03.Muestra'!$F$8:$F$42,SMALL(IF("Página Web"='03.Muestra'!$D$8:$D$42,ROW('03.Muestra'!$F$8:$F$42)-MIN(ROW('03.Muestra'!$D$8:$D$42))+1,""),ROW()-778)),"")</f>
        <v>https://www.comunidad.madrid/hospital/clinicosancarlos/comunicacion</v>
      </c>
      <c r="D786" s="130" t="s">
        <v>26</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Videoteca</v>
      </c>
      <c r="C787" s="114" t="str" cm="1">
        <f t="array" ref="C787">IFERROR(INDEX('03.Muestra'!$F$8:$F$42,SMALL(IF("Página Web"='03.Muestra'!$D$8:$D$42,ROW('03.Muestra'!$F$8:$F$42)-MIN(ROW('03.Muestra'!$D$8:$D$42))+1,""),ROW()-778)),"")</f>
        <v>https://www.comunidad.madrid/hospital/clinicosancarlos/comunicacion/videoteca</v>
      </c>
      <c r="D787" s="130" t="s">
        <v>26</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Noticias</v>
      </c>
      <c r="C788" s="114" t="str" cm="1">
        <f t="array" ref="C788">IFERROR(INDEX('03.Muestra'!$F$8:$F$42,SMALL(IF("Página Web"='03.Muestra'!$D$8:$D$42,ROW('03.Muestra'!$F$8:$F$42)-MIN(ROW('03.Muestra'!$D$8:$D$42))+1,""),ROW()-778)),"")</f>
        <v>https://www.comunidad.madrid/hospital/clinicosancarlos/comunicacion/noticias</v>
      </c>
      <c r="D788" s="130" t="s">
        <v>26</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Nosotros</v>
      </c>
      <c r="C789" s="114" t="str" cm="1">
        <f t="array" ref="C789">IFERROR(INDEX('03.Muestra'!$F$8:$F$42,SMALL(IF("Página Web"='03.Muestra'!$D$8:$D$42,ROW('03.Muestra'!$F$8:$F$42)-MIN(ROW('03.Muestra'!$D$8:$D$42))+1,""),ROW()-778)),"")</f>
        <v>https://www.comunidad.madrid/hospital/clinicosancarlos/nosotros</v>
      </c>
      <c r="D789" s="130" t="s">
        <v>26</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Gestión Ambiental</v>
      </c>
      <c r="C790" s="114" t="str" cm="1">
        <f t="array" ref="C790">IFERROR(INDEX('03.Muestra'!$F$8:$F$42,SMALL(IF("Página Web"='03.Muestra'!$D$8:$D$42,ROW('03.Muestra'!$F$8:$F$42)-MIN(ROW('03.Muestra'!$D$8:$D$42))+1,""),ROW()-778)),"")</f>
        <v>https://www.comunidad.madrid/hospital/clinicosancarlos/nosotros/gestion-ambiental</v>
      </c>
      <c r="D790" s="130" t="s">
        <v>26</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Proveedores</v>
      </c>
      <c r="C791" s="114" t="str" cm="1">
        <f t="array" ref="C791">IFERROR(INDEX('03.Muestra'!$F$8:$F$42,SMALL(IF("Página Web"='03.Muestra'!$D$8:$D$42,ROW('03.Muestra'!$F$8:$F$42)-MIN(ROW('03.Muestra'!$D$8:$D$42))+1,""),ROW()-778)),"")</f>
        <v>https://www.comunidad.madrid/hospital/clinicosancarlos/nosotros/proveedores-0</v>
      </c>
      <c r="D791" s="130" t="s">
        <v>26</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Aviso legal</v>
      </c>
      <c r="C792" s="114" t="str" cm="1">
        <f t="array" ref="C792">IFERROR(INDEX('03.Muestra'!$F$8:$F$42,SMALL(IF("Página Web"='03.Muestra'!$D$8:$D$42,ROW('03.Muestra'!$F$8:$F$42)-MIN(ROW('03.Muestra'!$D$8:$D$42))+1,""),ROW()-778)),"")</f>
        <v>https://www.comunidad.madrid/hospital/clinicosancarlos/aviso-legal-privacidad</v>
      </c>
      <c r="D792" s="130" t="s">
        <v>26</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Mapa web</v>
      </c>
      <c r="C793" s="114" t="str" cm="1">
        <f t="array" ref="C793">IFERROR(INDEX('03.Muestra'!$F$8:$F$42,SMALL(IF("Página Web"='03.Muestra'!$D$8:$D$42,ROW('03.Muestra'!$F$8:$F$42)-MIN(ROW('03.Muestra'!$D$8:$D$42))+1,""),ROW()-778)),"")</f>
        <v>https://www.comunidad.madrid/hospital/clinicosancarlos/sitemap</v>
      </c>
      <c r="D793" s="130" t="s">
        <v>26</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Accesibilidad</v>
      </c>
      <c r="C794" s="114" t="str" cm="1">
        <f t="array" ref="C794">IFERROR(INDEX('03.Muestra'!$F$8:$F$42,SMALL(IF("Página Web"='03.Muestra'!$D$8:$D$42,ROW('03.Muestra'!$F$8:$F$42)-MIN(ROW('03.Muestra'!$D$8:$D$42))+1,""),ROW()-778)),"")</f>
        <v>https://www.comunidad.madrid/hospital/clinicosancarlos/declaracion-accesibilidad</v>
      </c>
      <c r="D794" s="130" t="s">
        <v>26</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t="str" cm="1">
        <f t="array" ref="A795">IFERROR(INDEX('03.Muestra'!$B$8:$B$42,SMALL(IF("Página Web"='03.Muestra'!$D$8:$D$42,ROW('03.Muestra'!$B$8:$B$42)-MIN(ROW('03.Muestra'!$D$8:$D$42))+1,""),ROW()-778)),"")</f>
        <v/>
      </c>
      <c r="B795" s="114" t="str" cm="1">
        <f t="array" ref="B795">IFERROR(INDEX('03.Muestra'!$C$8:$C$42,SMALL(IF("Página Web"='03.Muestra'!$D$8:$D$42,ROW('03.Muestra'!$C$8:$C$42)-MIN(ROW('03.Muestra'!$D$8:$D$42))+1,""),ROW()-778)),"")</f>
        <v/>
      </c>
      <c r="C795" s="114" t="str" cm="1">
        <f t="array" ref="C795">IFERROR(INDEX('03.Muestra'!$F$8:$F$42,SMALL(IF("Página Web"='03.Muestra'!$D$8:$D$42,ROW('03.Muestra'!$F$8:$F$42)-MIN(ROW('03.Muestra'!$D$8:$D$42))+1,""),ROW()-778)),"")</f>
        <v/>
      </c>
      <c r="D795" s="130" t="str">
        <f t="shared" ref="D795:D813" si="41">IF(AND(B795&lt;&gt;"",C795&lt;&gt;""),"N/T","")</f>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t="str" cm="1">
        <f t="array" ref="A796">IFERROR(INDEX('03.Muestra'!$B$8:$B$42,SMALL(IF("Página Web"='03.Muestra'!$D$8:$D$42,ROW('03.Muestra'!$B$8:$B$42)-MIN(ROW('03.Muestra'!$D$8:$D$42))+1,""),ROW()-778)),"")</f>
        <v/>
      </c>
      <c r="B796" s="114" t="str" cm="1">
        <f t="array" ref="B796">IFERROR(INDEX('03.Muestra'!$C$8:$C$42,SMALL(IF("Página Web"='03.Muestra'!$D$8:$D$42,ROW('03.Muestra'!$C$8:$C$42)-MIN(ROW('03.Muestra'!$D$8:$D$42))+1,""),ROW()-778)),"")</f>
        <v/>
      </c>
      <c r="C796" s="114" t="str" cm="1">
        <f t="array" ref="C796">IFERROR(INDEX('03.Muestra'!$F$8:$F$42,SMALL(IF("Página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t="str" cm="1">
        <f t="array" ref="A797">IFERROR(INDEX('03.Muestra'!$B$8:$B$42,SMALL(IF("Página Web"='03.Muestra'!$D$8:$D$42,ROW('03.Muestra'!$B$8:$B$42)-MIN(ROW('03.Muestra'!$D$8:$D$42))+1,""),ROW()-778)),"")</f>
        <v/>
      </c>
      <c r="B797" s="114" t="str" cm="1">
        <f t="array" ref="B797">IFERROR(INDEX('03.Muestra'!$C$8:$C$42,SMALL(IF("Página Web"='03.Muestra'!$D$8:$D$42,ROW('03.Muestra'!$C$8:$C$42)-MIN(ROW('03.Muestra'!$D$8:$D$42))+1,""),ROW()-778)),"")</f>
        <v/>
      </c>
      <c r="C797" s="114" t="str" cm="1">
        <f t="array" ref="C797">IFERROR(INDEX('03.Muestra'!$F$8:$F$42,SMALL(IF("Página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t="str" cm="1">
        <f t="array" ref="A798">IFERROR(INDEX('03.Muestra'!$B$8:$B$42,SMALL(IF("Página Web"='03.Muestra'!$D$8:$D$42,ROW('03.Muestra'!$B$8:$B$42)-MIN(ROW('03.Muestra'!$D$8:$D$42))+1,""),ROW()-778)),"")</f>
        <v/>
      </c>
      <c r="B798" s="114" t="str" cm="1">
        <f t="array" ref="B798">IFERROR(INDEX('03.Muestra'!$C$8:$C$42,SMALL(IF("Página Web"='03.Muestra'!$D$8:$D$42,ROW('03.Muestra'!$C$8:$C$42)-MIN(ROW('03.Muestra'!$D$8:$D$42))+1,""),ROW()-778)),"")</f>
        <v/>
      </c>
      <c r="C798" s="114" t="str" cm="1">
        <f t="array" ref="C798">IFERROR(INDEX('03.Muestra'!$F$8:$F$42,SMALL(IF("Página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268</v>
      </c>
      <c r="B816" s="24" t="s">
        <v>90</v>
      </c>
      <c r="C816" s="25" t="s">
        <v>394</v>
      </c>
      <c r="D816" s="26" t="s">
        <v>32</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https://www.comunidad.madrid/hospital/clinicosancarlos/</v>
      </c>
      <c r="D817" s="130" t="s">
        <v>35</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Ciudadanos</v>
      </c>
      <c r="C818" s="114" t="str" cm="1">
        <f t="array" ref="C818">IFERROR(INDEX('03.Muestra'!$F$8:$F$42,SMALL(IF("Página Web"='03.Muestra'!$D$8:$D$42,ROW('03.Muestra'!$F$8:$F$42)-MIN(ROW('03.Muestra'!$D$8:$D$42))+1,""),ROW()-816)),"")</f>
        <v>https://www.comunidad.madrid/hospital/clinicosancarlos/ciudadanos</v>
      </c>
      <c r="D818" s="130" t="s">
        <v>35</v>
      </c>
      <c r="E818" s="107" t="str">
        <f t="shared" si="42"/>
        <v/>
      </c>
      <c r="F818" s="120">
        <f ca="1">COUNTIF($D817:INDIRECT("$D" &amp;  SUM(ROW()-1,'03.Muestra'!$D$45)-1),F817)</f>
        <v>0</v>
      </c>
      <c r="G818" s="120">
        <f ca="1">COUNTIF($D817:INDIRECT("$D" &amp;  SUM(ROW()-1,'03.Muestra'!$D$45)-1),G817)</f>
        <v>0</v>
      </c>
      <c r="H818" s="120">
        <f ca="1">COUNTIF($D817:INDIRECT("$D" &amp;  SUM(ROW()-1,'03.Muestra'!$D$45)-1),H817)</f>
        <v>16</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Consultas externas</v>
      </c>
      <c r="C819" s="114" t="str" cm="1">
        <f t="array" ref="C819">IFERROR(INDEX('03.Muestra'!$F$8:$F$42,SMALL(IF("Página Web"='03.Muestra'!$D$8:$D$42,ROW('03.Muestra'!$F$8:$F$42)-MIN(ROW('03.Muestra'!$D$8:$D$42))+1,""),ROW()-816)),"")</f>
        <v>https://www.comunidad.madrid/hospital/clinicosancarlos/ciudadanos/consultas-externas</v>
      </c>
      <c r="D819" s="130" t="s">
        <v>35</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Donación</v>
      </c>
      <c r="C820" s="114" t="str" cm="1">
        <f t="array" ref="C820">IFERROR(INDEX('03.Muestra'!$F$8:$F$42,SMALL(IF("Página Web"='03.Muestra'!$D$8:$D$42,ROW('03.Muestra'!$F$8:$F$42)-MIN(ROW('03.Muestra'!$D$8:$D$42))+1,""),ROW()-816)),"")</f>
        <v>https://www.comunidad.madrid/hospital/clinicosancarlos/ciudadanos/donacion-0</v>
      </c>
      <c r="D820" s="130" t="s">
        <v>35</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Profesionales</v>
      </c>
      <c r="C821" s="114" t="str" cm="1">
        <f t="array" ref="C821">IFERROR(INDEX('03.Muestra'!$F$8:$F$42,SMALL(IF("Página Web"='03.Muestra'!$D$8:$D$42,ROW('03.Muestra'!$F$8:$F$42)-MIN(ROW('03.Muestra'!$D$8:$D$42))+1,""),ROW()-816)),"")</f>
        <v>https://www.comunidad.madrid/hospital/clinicosancarlos/profesionales</v>
      </c>
      <c r="D821" s="130" t="s">
        <v>35</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Docencia</v>
      </c>
      <c r="C822" s="114" t="str" cm="1">
        <f t="array" ref="C822">IFERROR(INDEX('03.Muestra'!$F$8:$F$42,SMALL(IF("Página Web"='03.Muestra'!$D$8:$D$42,ROW('03.Muestra'!$F$8:$F$42)-MIN(ROW('03.Muestra'!$D$8:$D$42))+1,""),ROW()-816)),"")</f>
        <v>https://www.comunidad.madrid/hospital/clinicosancarlos/profesionales/docencia</v>
      </c>
      <c r="D822" s="130" t="s">
        <v>35</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Referencia</v>
      </c>
      <c r="C823" s="114" t="str" cm="1">
        <f t="array" ref="C823">IFERROR(INDEX('03.Muestra'!$F$8:$F$42,SMALL(IF("Página Web"='03.Muestra'!$D$8:$D$42,ROW('03.Muestra'!$F$8:$F$42)-MIN(ROW('03.Muestra'!$D$8:$D$42))+1,""),ROW()-816)),"")</f>
        <v>https://www.comunidad.madrid/hospital/clinicosancarlos/profesionales/unidades-referencia-nacional-redes-europeas</v>
      </c>
      <c r="D823" s="130" t="s">
        <v>35</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Comunicación</v>
      </c>
      <c r="C824" s="114" t="str" cm="1">
        <f t="array" ref="C824">IFERROR(INDEX('03.Muestra'!$F$8:$F$42,SMALL(IF("Página Web"='03.Muestra'!$D$8:$D$42,ROW('03.Muestra'!$F$8:$F$42)-MIN(ROW('03.Muestra'!$D$8:$D$42))+1,""),ROW()-816)),"")</f>
        <v>https://www.comunidad.madrid/hospital/clinicosancarlos/comunicacion</v>
      </c>
      <c r="D824" s="130" t="s">
        <v>35</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Videoteca</v>
      </c>
      <c r="C825" s="114" t="str" cm="1">
        <f t="array" ref="C825">IFERROR(INDEX('03.Muestra'!$F$8:$F$42,SMALL(IF("Página Web"='03.Muestra'!$D$8:$D$42,ROW('03.Muestra'!$F$8:$F$42)-MIN(ROW('03.Muestra'!$D$8:$D$42))+1,""),ROW()-816)),"")</f>
        <v>https://www.comunidad.madrid/hospital/clinicosancarlos/comunicacion/videoteca</v>
      </c>
      <c r="D825" s="130" t="s">
        <v>35</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Noticias</v>
      </c>
      <c r="C826" s="114" t="str" cm="1">
        <f t="array" ref="C826">IFERROR(INDEX('03.Muestra'!$F$8:$F$42,SMALL(IF("Página Web"='03.Muestra'!$D$8:$D$42,ROW('03.Muestra'!$F$8:$F$42)-MIN(ROW('03.Muestra'!$D$8:$D$42))+1,""),ROW()-816)),"")</f>
        <v>https://www.comunidad.madrid/hospital/clinicosancarlos/comunicacion/noticias</v>
      </c>
      <c r="D826" s="130" t="s">
        <v>35</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Nosotros</v>
      </c>
      <c r="C827" s="114" t="str" cm="1">
        <f t="array" ref="C827">IFERROR(INDEX('03.Muestra'!$F$8:$F$42,SMALL(IF("Página Web"='03.Muestra'!$D$8:$D$42,ROW('03.Muestra'!$F$8:$F$42)-MIN(ROW('03.Muestra'!$D$8:$D$42))+1,""),ROW()-816)),"")</f>
        <v>https://www.comunidad.madrid/hospital/clinicosancarlos/nosotros</v>
      </c>
      <c r="D827" s="130" t="s">
        <v>35</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Gestión Ambiental</v>
      </c>
      <c r="C828" s="114" t="str" cm="1">
        <f t="array" ref="C828">IFERROR(INDEX('03.Muestra'!$F$8:$F$42,SMALL(IF("Página Web"='03.Muestra'!$D$8:$D$42,ROW('03.Muestra'!$F$8:$F$42)-MIN(ROW('03.Muestra'!$D$8:$D$42))+1,""),ROW()-816)),"")</f>
        <v>https://www.comunidad.madrid/hospital/clinicosancarlos/nosotros/gestion-ambiental</v>
      </c>
      <c r="D828" s="130" t="s">
        <v>35</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Proveedores</v>
      </c>
      <c r="C829" s="114" t="str" cm="1">
        <f t="array" ref="C829">IFERROR(INDEX('03.Muestra'!$F$8:$F$42,SMALL(IF("Página Web"='03.Muestra'!$D$8:$D$42,ROW('03.Muestra'!$F$8:$F$42)-MIN(ROW('03.Muestra'!$D$8:$D$42))+1,""),ROW()-816)),"")</f>
        <v>https://www.comunidad.madrid/hospital/clinicosancarlos/nosotros/proveedores-0</v>
      </c>
      <c r="D829" s="130" t="s">
        <v>35</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Aviso legal</v>
      </c>
      <c r="C830" s="114" t="str" cm="1">
        <f t="array" ref="C830">IFERROR(INDEX('03.Muestra'!$F$8:$F$42,SMALL(IF("Página Web"='03.Muestra'!$D$8:$D$42,ROW('03.Muestra'!$F$8:$F$42)-MIN(ROW('03.Muestra'!$D$8:$D$42))+1,""),ROW()-816)),"")</f>
        <v>https://www.comunidad.madrid/hospital/clinicosancarlos/aviso-legal-privacidad</v>
      </c>
      <c r="D830" s="130" t="s">
        <v>35</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Mapa web</v>
      </c>
      <c r="C831" s="114" t="str" cm="1">
        <f t="array" ref="C831">IFERROR(INDEX('03.Muestra'!$F$8:$F$42,SMALL(IF("Página Web"='03.Muestra'!$D$8:$D$42,ROW('03.Muestra'!$F$8:$F$42)-MIN(ROW('03.Muestra'!$D$8:$D$42))+1,""),ROW()-816)),"")</f>
        <v>https://www.comunidad.madrid/hospital/clinicosancarlos/sitemap</v>
      </c>
      <c r="D831" s="130" t="s">
        <v>35</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Accesibilidad</v>
      </c>
      <c r="C832" s="114" t="str" cm="1">
        <f t="array" ref="C832">IFERROR(INDEX('03.Muestra'!$F$8:$F$42,SMALL(IF("Página Web"='03.Muestra'!$D$8:$D$42,ROW('03.Muestra'!$F$8:$F$42)-MIN(ROW('03.Muestra'!$D$8:$D$42))+1,""),ROW()-816)),"")</f>
        <v>https://www.comunidad.madrid/hospital/clinicosancarlos/declaracion-accesibilidad</v>
      </c>
      <c r="D832" s="130" t="s">
        <v>35</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t="str" cm="1">
        <f t="array" ref="A833">IFERROR(INDEX('03.Muestra'!$B$8:$B$42,SMALL(IF("Página Web"='03.Muestra'!$D$8:$D$42,ROW('03.Muestra'!$B$8:$B$42)-MIN(ROW('03.Muestra'!$D$8:$D$42))+1,""),ROW()-816)),"")</f>
        <v/>
      </c>
      <c r="B833" s="114" t="str" cm="1">
        <f t="array" ref="B833">IFERROR(INDEX('03.Muestra'!$C$8:$C$42,SMALL(IF("Página Web"='03.Muestra'!$D$8:$D$42,ROW('03.Muestra'!$C$8:$C$42)-MIN(ROW('03.Muestra'!$D$8:$D$42))+1,""),ROW()-816)),"")</f>
        <v/>
      </c>
      <c r="C833" s="114" t="str" cm="1">
        <f t="array" ref="C833">IFERROR(INDEX('03.Muestra'!$F$8:$F$42,SMALL(IF("Página Web"='03.Muestra'!$D$8:$D$42,ROW('03.Muestra'!$F$8:$F$42)-MIN(ROW('03.Muestra'!$D$8:$D$42))+1,""),ROW()-816)),"")</f>
        <v/>
      </c>
      <c r="D833" s="130" t="str">
        <f t="shared" ref="D833:D851" si="43">IF(AND(B833&lt;&gt;"",C833&lt;&gt;""),"N/T","")</f>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t="str" cm="1">
        <f t="array" ref="A834">IFERROR(INDEX('03.Muestra'!$B$8:$B$42,SMALL(IF("Página Web"='03.Muestra'!$D$8:$D$42,ROW('03.Muestra'!$B$8:$B$42)-MIN(ROW('03.Muestra'!$D$8:$D$42))+1,""),ROW()-816)),"")</f>
        <v/>
      </c>
      <c r="B834" s="114" t="str" cm="1">
        <f t="array" ref="B834">IFERROR(INDEX('03.Muestra'!$C$8:$C$42,SMALL(IF("Página Web"='03.Muestra'!$D$8:$D$42,ROW('03.Muestra'!$C$8:$C$42)-MIN(ROW('03.Muestra'!$D$8:$D$42))+1,""),ROW()-816)),"")</f>
        <v/>
      </c>
      <c r="C834" s="114" t="str" cm="1">
        <f t="array" ref="C834">IFERROR(INDEX('03.Muestra'!$F$8:$F$42,SMALL(IF("Página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t="str" cm="1">
        <f t="array" ref="A835">IFERROR(INDEX('03.Muestra'!$B$8:$B$42,SMALL(IF("Página Web"='03.Muestra'!$D$8:$D$42,ROW('03.Muestra'!$B$8:$B$42)-MIN(ROW('03.Muestra'!$D$8:$D$42))+1,""),ROW()-816)),"")</f>
        <v/>
      </c>
      <c r="B835" s="114" t="str" cm="1">
        <f t="array" ref="B835">IFERROR(INDEX('03.Muestra'!$C$8:$C$42,SMALL(IF("Página Web"='03.Muestra'!$D$8:$D$42,ROW('03.Muestra'!$C$8:$C$42)-MIN(ROW('03.Muestra'!$D$8:$D$42))+1,""),ROW()-816)),"")</f>
        <v/>
      </c>
      <c r="C835" s="114" t="str" cm="1">
        <f t="array" ref="C835">IFERROR(INDEX('03.Muestra'!$F$8:$F$42,SMALL(IF("Página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t="str" cm="1">
        <f t="array" ref="A836">IFERROR(INDEX('03.Muestra'!$B$8:$B$42,SMALL(IF("Página Web"='03.Muestra'!$D$8:$D$42,ROW('03.Muestra'!$B$8:$B$42)-MIN(ROW('03.Muestra'!$D$8:$D$42))+1,""),ROW()-816)),"")</f>
        <v/>
      </c>
      <c r="B836" s="114" t="str" cm="1">
        <f t="array" ref="B836">IFERROR(INDEX('03.Muestra'!$C$8:$C$42,SMALL(IF("Página Web"='03.Muestra'!$D$8:$D$42,ROW('03.Muestra'!$C$8:$C$42)-MIN(ROW('03.Muestra'!$D$8:$D$42))+1,""),ROW()-816)),"")</f>
        <v/>
      </c>
      <c r="C836" s="114" t="str" cm="1">
        <f t="array" ref="C836">IFERROR(INDEX('03.Muestra'!$F$8:$F$42,SMALL(IF("Página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268</v>
      </c>
      <c r="B854" s="24" t="s">
        <v>90</v>
      </c>
      <c r="C854" s="25" t="s">
        <v>395</v>
      </c>
      <c r="D854" s="26" t="s">
        <v>32</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https://www.comunidad.madrid/hospital/clinicosancarlos/</v>
      </c>
      <c r="D855" s="130" t="s">
        <v>35</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Ciudadanos</v>
      </c>
      <c r="C856" s="114" t="str" cm="1">
        <f t="array" ref="C856">IFERROR(INDEX('03.Muestra'!$F$8:$F$42,SMALL(IF("Página Web"='03.Muestra'!$D$8:$D$42,ROW('03.Muestra'!$F$8:$F$42)-MIN(ROW('03.Muestra'!$D$8:$D$42))+1,""),ROW()-854)),"")</f>
        <v>https://www.comunidad.madrid/hospital/clinicosancarlos/ciudadanos</v>
      </c>
      <c r="D856" s="130" t="s">
        <v>35</v>
      </c>
      <c r="E856" s="107" t="str">
        <f t="shared" si="44"/>
        <v/>
      </c>
      <c r="F856" s="120">
        <f ca="1">COUNTIF($D855:INDIRECT("$D" &amp;  SUM(ROW()-1,'03.Muestra'!$D$45)-1),F855)</f>
        <v>0</v>
      </c>
      <c r="G856" s="120">
        <f ca="1">COUNTIF($D855:INDIRECT("$D" &amp;  SUM(ROW()-1,'03.Muestra'!$D$45)-1),G855)</f>
        <v>0</v>
      </c>
      <c r="H856" s="120">
        <f ca="1">COUNTIF($D855:INDIRECT("$D" &amp;  SUM(ROW()-1,'03.Muestra'!$D$45)-1),H855)</f>
        <v>16</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Consultas externas</v>
      </c>
      <c r="C857" s="114" t="str" cm="1">
        <f t="array" ref="C857">IFERROR(INDEX('03.Muestra'!$F$8:$F$42,SMALL(IF("Página Web"='03.Muestra'!$D$8:$D$42,ROW('03.Muestra'!$F$8:$F$42)-MIN(ROW('03.Muestra'!$D$8:$D$42))+1,""),ROW()-854)),"")</f>
        <v>https://www.comunidad.madrid/hospital/clinicosancarlos/ciudadanos/consultas-externas</v>
      </c>
      <c r="D857" s="130" t="s">
        <v>35</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Donación</v>
      </c>
      <c r="C858" s="114" t="str" cm="1">
        <f t="array" ref="C858">IFERROR(INDEX('03.Muestra'!$F$8:$F$42,SMALL(IF("Página Web"='03.Muestra'!$D$8:$D$42,ROW('03.Muestra'!$F$8:$F$42)-MIN(ROW('03.Muestra'!$D$8:$D$42))+1,""),ROW()-854)),"")</f>
        <v>https://www.comunidad.madrid/hospital/clinicosancarlos/ciudadanos/donacion-0</v>
      </c>
      <c r="D858" s="130" t="s">
        <v>35</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Profesionales</v>
      </c>
      <c r="C859" s="114" t="str" cm="1">
        <f t="array" ref="C859">IFERROR(INDEX('03.Muestra'!$F$8:$F$42,SMALL(IF("Página Web"='03.Muestra'!$D$8:$D$42,ROW('03.Muestra'!$F$8:$F$42)-MIN(ROW('03.Muestra'!$D$8:$D$42))+1,""),ROW()-854)),"")</f>
        <v>https://www.comunidad.madrid/hospital/clinicosancarlos/profesionales</v>
      </c>
      <c r="D859" s="130" t="s">
        <v>35</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Docencia</v>
      </c>
      <c r="C860" s="114" t="str" cm="1">
        <f t="array" ref="C860">IFERROR(INDEX('03.Muestra'!$F$8:$F$42,SMALL(IF("Página Web"='03.Muestra'!$D$8:$D$42,ROW('03.Muestra'!$F$8:$F$42)-MIN(ROW('03.Muestra'!$D$8:$D$42))+1,""),ROW()-854)),"")</f>
        <v>https://www.comunidad.madrid/hospital/clinicosancarlos/profesionales/docencia</v>
      </c>
      <c r="D860" s="130" t="s">
        <v>35</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Referencia</v>
      </c>
      <c r="C861" s="114" t="str" cm="1">
        <f t="array" ref="C861">IFERROR(INDEX('03.Muestra'!$F$8:$F$42,SMALL(IF("Página Web"='03.Muestra'!$D$8:$D$42,ROW('03.Muestra'!$F$8:$F$42)-MIN(ROW('03.Muestra'!$D$8:$D$42))+1,""),ROW()-854)),"")</f>
        <v>https://www.comunidad.madrid/hospital/clinicosancarlos/profesionales/unidades-referencia-nacional-redes-europeas</v>
      </c>
      <c r="D861" s="130" t="s">
        <v>35</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Comunicación</v>
      </c>
      <c r="C862" s="114" t="str" cm="1">
        <f t="array" ref="C862">IFERROR(INDEX('03.Muestra'!$F$8:$F$42,SMALL(IF("Página Web"='03.Muestra'!$D$8:$D$42,ROW('03.Muestra'!$F$8:$F$42)-MIN(ROW('03.Muestra'!$D$8:$D$42))+1,""),ROW()-854)),"")</f>
        <v>https://www.comunidad.madrid/hospital/clinicosancarlos/comunicacion</v>
      </c>
      <c r="D862" s="130" t="s">
        <v>35</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Videoteca</v>
      </c>
      <c r="C863" s="114" t="str" cm="1">
        <f t="array" ref="C863">IFERROR(INDEX('03.Muestra'!$F$8:$F$42,SMALL(IF("Página Web"='03.Muestra'!$D$8:$D$42,ROW('03.Muestra'!$F$8:$F$42)-MIN(ROW('03.Muestra'!$D$8:$D$42))+1,""),ROW()-854)),"")</f>
        <v>https://www.comunidad.madrid/hospital/clinicosancarlos/comunicacion/videoteca</v>
      </c>
      <c r="D863" s="130" t="s">
        <v>35</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Noticias</v>
      </c>
      <c r="C864" s="114" t="str" cm="1">
        <f t="array" ref="C864">IFERROR(INDEX('03.Muestra'!$F$8:$F$42,SMALL(IF("Página Web"='03.Muestra'!$D$8:$D$42,ROW('03.Muestra'!$F$8:$F$42)-MIN(ROW('03.Muestra'!$D$8:$D$42))+1,""),ROW()-854)),"")</f>
        <v>https://www.comunidad.madrid/hospital/clinicosancarlos/comunicacion/noticias</v>
      </c>
      <c r="D864" s="130" t="s">
        <v>35</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Nosotros</v>
      </c>
      <c r="C865" s="114" t="str" cm="1">
        <f t="array" ref="C865">IFERROR(INDEX('03.Muestra'!$F$8:$F$42,SMALL(IF("Página Web"='03.Muestra'!$D$8:$D$42,ROW('03.Muestra'!$F$8:$F$42)-MIN(ROW('03.Muestra'!$D$8:$D$42))+1,""),ROW()-854)),"")</f>
        <v>https://www.comunidad.madrid/hospital/clinicosancarlos/nosotros</v>
      </c>
      <c r="D865" s="130" t="s">
        <v>35</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Gestión Ambiental</v>
      </c>
      <c r="C866" s="114" t="str" cm="1">
        <f t="array" ref="C866">IFERROR(INDEX('03.Muestra'!$F$8:$F$42,SMALL(IF("Página Web"='03.Muestra'!$D$8:$D$42,ROW('03.Muestra'!$F$8:$F$42)-MIN(ROW('03.Muestra'!$D$8:$D$42))+1,""),ROW()-854)),"")</f>
        <v>https://www.comunidad.madrid/hospital/clinicosancarlos/nosotros/gestion-ambiental</v>
      </c>
      <c r="D866" s="130" t="s">
        <v>35</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Proveedores</v>
      </c>
      <c r="C867" s="114" t="str" cm="1">
        <f t="array" ref="C867">IFERROR(INDEX('03.Muestra'!$F$8:$F$42,SMALL(IF("Página Web"='03.Muestra'!$D$8:$D$42,ROW('03.Muestra'!$F$8:$F$42)-MIN(ROW('03.Muestra'!$D$8:$D$42))+1,""),ROW()-854)),"")</f>
        <v>https://www.comunidad.madrid/hospital/clinicosancarlos/nosotros/proveedores-0</v>
      </c>
      <c r="D867" s="130" t="s">
        <v>35</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Aviso legal</v>
      </c>
      <c r="C868" s="114" t="str" cm="1">
        <f t="array" ref="C868">IFERROR(INDEX('03.Muestra'!$F$8:$F$42,SMALL(IF("Página Web"='03.Muestra'!$D$8:$D$42,ROW('03.Muestra'!$F$8:$F$42)-MIN(ROW('03.Muestra'!$D$8:$D$42))+1,""),ROW()-854)),"")</f>
        <v>https://www.comunidad.madrid/hospital/clinicosancarlos/aviso-legal-privacidad</v>
      </c>
      <c r="D868" s="130" t="s">
        <v>35</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Mapa web</v>
      </c>
      <c r="C869" s="114" t="str" cm="1">
        <f t="array" ref="C869">IFERROR(INDEX('03.Muestra'!$F$8:$F$42,SMALL(IF("Página Web"='03.Muestra'!$D$8:$D$42,ROW('03.Muestra'!$F$8:$F$42)-MIN(ROW('03.Muestra'!$D$8:$D$42))+1,""),ROW()-854)),"")</f>
        <v>https://www.comunidad.madrid/hospital/clinicosancarlos/sitemap</v>
      </c>
      <c r="D869" s="130" t="s">
        <v>35</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Accesibilidad</v>
      </c>
      <c r="C870" s="114" t="str" cm="1">
        <f t="array" ref="C870">IFERROR(INDEX('03.Muestra'!$F$8:$F$42,SMALL(IF("Página Web"='03.Muestra'!$D$8:$D$42,ROW('03.Muestra'!$F$8:$F$42)-MIN(ROW('03.Muestra'!$D$8:$D$42))+1,""),ROW()-854)),"")</f>
        <v>https://www.comunidad.madrid/hospital/clinicosancarlos/declaracion-accesibilidad</v>
      </c>
      <c r="D870" s="130" t="s">
        <v>35</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t="str" cm="1">
        <f t="array" ref="A871">IFERROR(INDEX('03.Muestra'!$B$8:$B$42,SMALL(IF("Página Web"='03.Muestra'!$D$8:$D$42,ROW('03.Muestra'!$B$8:$B$42)-MIN(ROW('03.Muestra'!$D$8:$D$42))+1,""),ROW()-854)),"")</f>
        <v/>
      </c>
      <c r="B871" s="114" t="str" cm="1">
        <f t="array" ref="B871">IFERROR(INDEX('03.Muestra'!$C$8:$C$42,SMALL(IF("Página Web"='03.Muestra'!$D$8:$D$42,ROW('03.Muestra'!$C$8:$C$42)-MIN(ROW('03.Muestra'!$D$8:$D$42))+1,""),ROW()-854)),"")</f>
        <v/>
      </c>
      <c r="C871" s="114" t="str" cm="1">
        <f t="array" ref="C871">IFERROR(INDEX('03.Muestra'!$F$8:$F$42,SMALL(IF("Página Web"='03.Muestra'!$D$8:$D$42,ROW('03.Muestra'!$F$8:$F$42)-MIN(ROW('03.Muestra'!$D$8:$D$42))+1,""),ROW()-854)),"")</f>
        <v/>
      </c>
      <c r="D871" s="130" t="str">
        <f t="shared" ref="D871:D889" si="45">IF(AND(B871&lt;&gt;"",C871&lt;&gt;""),"N/T","")</f>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t="str" cm="1">
        <f t="array" ref="A872">IFERROR(INDEX('03.Muestra'!$B$8:$B$42,SMALL(IF("Página Web"='03.Muestra'!$D$8:$D$42,ROW('03.Muestra'!$B$8:$B$42)-MIN(ROW('03.Muestra'!$D$8:$D$42))+1,""),ROW()-854)),"")</f>
        <v/>
      </c>
      <c r="B872" s="114" t="str" cm="1">
        <f t="array" ref="B872">IFERROR(INDEX('03.Muestra'!$C$8:$C$42,SMALL(IF("Página Web"='03.Muestra'!$D$8:$D$42,ROW('03.Muestra'!$C$8:$C$42)-MIN(ROW('03.Muestra'!$D$8:$D$42))+1,""),ROW()-854)),"")</f>
        <v/>
      </c>
      <c r="C872" s="114" t="str" cm="1">
        <f t="array" ref="C872">IFERROR(INDEX('03.Muestra'!$F$8:$F$42,SMALL(IF("Página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t="str" cm="1">
        <f t="array" ref="A873">IFERROR(INDEX('03.Muestra'!$B$8:$B$42,SMALL(IF("Página Web"='03.Muestra'!$D$8:$D$42,ROW('03.Muestra'!$B$8:$B$42)-MIN(ROW('03.Muestra'!$D$8:$D$42))+1,""),ROW()-854)),"")</f>
        <v/>
      </c>
      <c r="B873" s="114" t="str" cm="1">
        <f t="array" ref="B873">IFERROR(INDEX('03.Muestra'!$C$8:$C$42,SMALL(IF("Página Web"='03.Muestra'!$D$8:$D$42,ROW('03.Muestra'!$C$8:$C$42)-MIN(ROW('03.Muestra'!$D$8:$D$42))+1,""),ROW()-854)),"")</f>
        <v/>
      </c>
      <c r="C873" s="114" t="str" cm="1">
        <f t="array" ref="C873">IFERROR(INDEX('03.Muestra'!$F$8:$F$42,SMALL(IF("Página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t="str" cm="1">
        <f t="array" ref="A874">IFERROR(INDEX('03.Muestra'!$B$8:$B$42,SMALL(IF("Página Web"='03.Muestra'!$D$8:$D$42,ROW('03.Muestra'!$B$8:$B$42)-MIN(ROW('03.Muestra'!$D$8:$D$42))+1,""),ROW()-854)),"")</f>
        <v/>
      </c>
      <c r="B874" s="114" t="str" cm="1">
        <f t="array" ref="B874">IFERROR(INDEX('03.Muestra'!$C$8:$C$42,SMALL(IF("Página Web"='03.Muestra'!$D$8:$D$42,ROW('03.Muestra'!$C$8:$C$42)-MIN(ROW('03.Muestra'!$D$8:$D$42))+1,""),ROW()-854)),"")</f>
        <v/>
      </c>
      <c r="C874" s="114" t="str" cm="1">
        <f t="array" ref="C874">IFERROR(INDEX('03.Muestra'!$F$8:$F$42,SMALL(IF("Página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268</v>
      </c>
      <c r="B892" s="24" t="s">
        <v>90</v>
      </c>
      <c r="C892" s="25" t="s">
        <v>396</v>
      </c>
      <c r="D892" s="26" t="s">
        <v>32</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https://www.comunidad.madrid/hospital/clinicosancarlos/</v>
      </c>
      <c r="D893" s="130" t="s">
        <v>28</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Ciudadanos</v>
      </c>
      <c r="C894" s="114" t="str" cm="1">
        <f t="array" ref="C894">IFERROR(INDEX('03.Muestra'!$F$8:$F$42,SMALL(IF("Página Web"='03.Muestra'!$D$8:$D$42,ROW('03.Muestra'!$F$8:$F$42)-MIN(ROW('03.Muestra'!$D$8:$D$42))+1,""),ROW()-892)),"")</f>
        <v>https://www.comunidad.madrid/hospital/clinicosancarlos/ciudadanos</v>
      </c>
      <c r="D894" s="130" t="s">
        <v>28</v>
      </c>
      <c r="E894" s="107" t="str">
        <f t="shared" si="46"/>
        <v/>
      </c>
      <c r="F894" s="120">
        <f ca="1">COUNTIF($D893:INDIRECT("$D" &amp;  SUM(ROW()-1,'03.Muestra'!$D$45)-1),F893)</f>
        <v>0</v>
      </c>
      <c r="G894" s="120">
        <f ca="1">COUNTIF($D893:INDIRECT("$D" &amp;  SUM(ROW()-1,'03.Muestra'!$D$45)-1),G893)</f>
        <v>0</v>
      </c>
      <c r="H894" s="120">
        <f ca="1">COUNTIF($D893:INDIRECT("$D" &amp;  SUM(ROW()-1,'03.Muestra'!$D$45)-1),H893)</f>
        <v>11</v>
      </c>
      <c r="I894" s="120">
        <f ca="1">COUNTIF($D893:INDIRECT("$D" &amp;  SUM(ROW()-1,'03.Muestra'!$D$45)-1),I893)</f>
        <v>5</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Consultas externas</v>
      </c>
      <c r="C895" s="114" t="str" cm="1">
        <f t="array" ref="C895">IFERROR(INDEX('03.Muestra'!$F$8:$F$42,SMALL(IF("Página Web"='03.Muestra'!$D$8:$D$42,ROW('03.Muestra'!$F$8:$F$42)-MIN(ROW('03.Muestra'!$D$8:$D$42))+1,""),ROW()-892)),"")</f>
        <v>https://www.comunidad.madrid/hospital/clinicosancarlos/ciudadanos/consultas-externas</v>
      </c>
      <c r="D895" s="130" t="s">
        <v>35</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Donación</v>
      </c>
      <c r="C896" s="114" t="str" cm="1">
        <f t="array" ref="C896">IFERROR(INDEX('03.Muestra'!$F$8:$F$42,SMALL(IF("Página Web"='03.Muestra'!$D$8:$D$42,ROW('03.Muestra'!$F$8:$F$42)-MIN(ROW('03.Muestra'!$D$8:$D$42))+1,""),ROW()-892)),"")</f>
        <v>https://www.comunidad.madrid/hospital/clinicosancarlos/ciudadanos/donacion-0</v>
      </c>
      <c r="D896" s="130" t="s">
        <v>35</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Profesionales</v>
      </c>
      <c r="C897" s="114" t="str" cm="1">
        <f t="array" ref="C897">IFERROR(INDEX('03.Muestra'!$F$8:$F$42,SMALL(IF("Página Web"='03.Muestra'!$D$8:$D$42,ROW('03.Muestra'!$F$8:$F$42)-MIN(ROW('03.Muestra'!$D$8:$D$42))+1,""),ROW()-892)),"")</f>
        <v>https://www.comunidad.madrid/hospital/clinicosancarlos/profesionales</v>
      </c>
      <c r="D897" s="130" t="s">
        <v>28</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Docencia</v>
      </c>
      <c r="C898" s="114" t="str" cm="1">
        <f t="array" ref="C898">IFERROR(INDEX('03.Muestra'!$F$8:$F$42,SMALL(IF("Página Web"='03.Muestra'!$D$8:$D$42,ROW('03.Muestra'!$F$8:$F$42)-MIN(ROW('03.Muestra'!$D$8:$D$42))+1,""),ROW()-892)),"")</f>
        <v>https://www.comunidad.madrid/hospital/clinicosancarlos/profesionales/docencia</v>
      </c>
      <c r="D898" s="130" t="s">
        <v>35</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Referencia</v>
      </c>
      <c r="C899" s="114" t="str" cm="1">
        <f t="array" ref="C899">IFERROR(INDEX('03.Muestra'!$F$8:$F$42,SMALL(IF("Página Web"='03.Muestra'!$D$8:$D$42,ROW('03.Muestra'!$F$8:$F$42)-MIN(ROW('03.Muestra'!$D$8:$D$42))+1,""),ROW()-892)),"")</f>
        <v>https://www.comunidad.madrid/hospital/clinicosancarlos/profesionales/unidades-referencia-nacional-redes-europeas</v>
      </c>
      <c r="D899" s="130" t="s">
        <v>35</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Comunicación</v>
      </c>
      <c r="C900" s="114" t="str" cm="1">
        <f t="array" ref="C900">IFERROR(INDEX('03.Muestra'!$F$8:$F$42,SMALL(IF("Página Web"='03.Muestra'!$D$8:$D$42,ROW('03.Muestra'!$F$8:$F$42)-MIN(ROW('03.Muestra'!$D$8:$D$42))+1,""),ROW()-892)),"")</f>
        <v>https://www.comunidad.madrid/hospital/clinicosancarlos/comunicacion</v>
      </c>
      <c r="D900" s="130" t="s">
        <v>28</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Videoteca</v>
      </c>
      <c r="C901" s="114" t="str" cm="1">
        <f t="array" ref="C901">IFERROR(INDEX('03.Muestra'!$F$8:$F$42,SMALL(IF("Página Web"='03.Muestra'!$D$8:$D$42,ROW('03.Muestra'!$F$8:$F$42)-MIN(ROW('03.Muestra'!$D$8:$D$42))+1,""),ROW()-892)),"")</f>
        <v>https://www.comunidad.madrid/hospital/clinicosancarlos/comunicacion/videoteca</v>
      </c>
      <c r="D901" s="130" t="s">
        <v>35</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Noticias</v>
      </c>
      <c r="C902" s="114" t="str" cm="1">
        <f t="array" ref="C902">IFERROR(INDEX('03.Muestra'!$F$8:$F$42,SMALL(IF("Página Web"='03.Muestra'!$D$8:$D$42,ROW('03.Muestra'!$F$8:$F$42)-MIN(ROW('03.Muestra'!$D$8:$D$42))+1,""),ROW()-892)),"")</f>
        <v>https://www.comunidad.madrid/hospital/clinicosancarlos/comunicacion/noticias</v>
      </c>
      <c r="D902" s="130" t="s">
        <v>35</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Nosotros</v>
      </c>
      <c r="C903" s="114" t="str" cm="1">
        <f t="array" ref="C903">IFERROR(INDEX('03.Muestra'!$F$8:$F$42,SMALL(IF("Página Web"='03.Muestra'!$D$8:$D$42,ROW('03.Muestra'!$F$8:$F$42)-MIN(ROW('03.Muestra'!$D$8:$D$42))+1,""),ROW()-892)),"")</f>
        <v>https://www.comunidad.madrid/hospital/clinicosancarlos/nosotros</v>
      </c>
      <c r="D903" s="130" t="s">
        <v>28</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Gestión Ambiental</v>
      </c>
      <c r="C904" s="114" t="str" cm="1">
        <f t="array" ref="C904">IFERROR(INDEX('03.Muestra'!$F$8:$F$42,SMALL(IF("Página Web"='03.Muestra'!$D$8:$D$42,ROW('03.Muestra'!$F$8:$F$42)-MIN(ROW('03.Muestra'!$D$8:$D$42))+1,""),ROW()-892)),"")</f>
        <v>https://www.comunidad.madrid/hospital/clinicosancarlos/nosotros/gestion-ambiental</v>
      </c>
      <c r="D904" s="130" t="s">
        <v>35</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Proveedores</v>
      </c>
      <c r="C905" s="114" t="str" cm="1">
        <f t="array" ref="C905">IFERROR(INDEX('03.Muestra'!$F$8:$F$42,SMALL(IF("Página Web"='03.Muestra'!$D$8:$D$42,ROW('03.Muestra'!$F$8:$F$42)-MIN(ROW('03.Muestra'!$D$8:$D$42))+1,""),ROW()-892)),"")</f>
        <v>https://www.comunidad.madrid/hospital/clinicosancarlos/nosotros/proveedores-0</v>
      </c>
      <c r="D905" s="130" t="s">
        <v>35</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Aviso legal</v>
      </c>
      <c r="C906" s="114" t="str" cm="1">
        <f t="array" ref="C906">IFERROR(INDEX('03.Muestra'!$F$8:$F$42,SMALL(IF("Página Web"='03.Muestra'!$D$8:$D$42,ROW('03.Muestra'!$F$8:$F$42)-MIN(ROW('03.Muestra'!$D$8:$D$42))+1,""),ROW()-892)),"")</f>
        <v>https://www.comunidad.madrid/hospital/clinicosancarlos/aviso-legal-privacidad</v>
      </c>
      <c r="D906" s="130" t="s">
        <v>35</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Mapa web</v>
      </c>
      <c r="C907" s="114" t="str" cm="1">
        <f t="array" ref="C907">IFERROR(INDEX('03.Muestra'!$F$8:$F$42,SMALL(IF("Página Web"='03.Muestra'!$D$8:$D$42,ROW('03.Muestra'!$F$8:$F$42)-MIN(ROW('03.Muestra'!$D$8:$D$42))+1,""),ROW()-892)),"")</f>
        <v>https://www.comunidad.madrid/hospital/clinicosancarlos/sitemap</v>
      </c>
      <c r="D907" s="130" t="s">
        <v>35</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Accesibilidad</v>
      </c>
      <c r="C908" s="114" t="str" cm="1">
        <f t="array" ref="C908">IFERROR(INDEX('03.Muestra'!$F$8:$F$42,SMALL(IF("Página Web"='03.Muestra'!$D$8:$D$42,ROW('03.Muestra'!$F$8:$F$42)-MIN(ROW('03.Muestra'!$D$8:$D$42))+1,""),ROW()-892)),"")</f>
        <v>https://www.comunidad.madrid/hospital/clinicosancarlos/declaracion-accesibilidad</v>
      </c>
      <c r="D908" s="130" t="s">
        <v>35</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t="str" cm="1">
        <f t="array" ref="A909">IFERROR(INDEX('03.Muestra'!$B$8:$B$42,SMALL(IF("Página Web"='03.Muestra'!$D$8:$D$42,ROW('03.Muestra'!$B$8:$B$42)-MIN(ROW('03.Muestra'!$D$8:$D$42))+1,""),ROW()-892)),"")</f>
        <v/>
      </c>
      <c r="B909" s="114" t="str" cm="1">
        <f t="array" ref="B909">IFERROR(INDEX('03.Muestra'!$C$8:$C$42,SMALL(IF("Página Web"='03.Muestra'!$D$8:$D$42,ROW('03.Muestra'!$C$8:$C$42)-MIN(ROW('03.Muestra'!$D$8:$D$42))+1,""),ROW()-892)),"")</f>
        <v/>
      </c>
      <c r="C909" s="114" t="str" cm="1">
        <f t="array" ref="C909">IFERROR(INDEX('03.Muestra'!$F$8:$F$42,SMALL(IF("Página Web"='03.Muestra'!$D$8:$D$42,ROW('03.Muestra'!$F$8:$F$42)-MIN(ROW('03.Muestra'!$D$8:$D$42))+1,""),ROW()-892)),"")</f>
        <v/>
      </c>
      <c r="D909" s="130" t="str">
        <f t="shared" ref="D909:D927" si="47">IF(AND(B909&lt;&gt;"",C909&lt;&gt;""),"N/T","")</f>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t="str" cm="1">
        <f t="array" ref="A910">IFERROR(INDEX('03.Muestra'!$B$8:$B$42,SMALL(IF("Página Web"='03.Muestra'!$D$8:$D$42,ROW('03.Muestra'!$B$8:$B$42)-MIN(ROW('03.Muestra'!$D$8:$D$42))+1,""),ROW()-892)),"")</f>
        <v/>
      </c>
      <c r="B910" s="114" t="str" cm="1">
        <f t="array" ref="B910">IFERROR(INDEX('03.Muestra'!$C$8:$C$42,SMALL(IF("Página Web"='03.Muestra'!$D$8:$D$42,ROW('03.Muestra'!$C$8:$C$42)-MIN(ROW('03.Muestra'!$D$8:$D$42))+1,""),ROW()-892)),"")</f>
        <v/>
      </c>
      <c r="C910" s="114" t="str" cm="1">
        <f t="array" ref="C910">IFERROR(INDEX('03.Muestra'!$F$8:$F$42,SMALL(IF("Página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t="str" cm="1">
        <f t="array" ref="A911">IFERROR(INDEX('03.Muestra'!$B$8:$B$42,SMALL(IF("Página Web"='03.Muestra'!$D$8:$D$42,ROW('03.Muestra'!$B$8:$B$42)-MIN(ROW('03.Muestra'!$D$8:$D$42))+1,""),ROW()-892)),"")</f>
        <v/>
      </c>
      <c r="B911" s="114" t="str" cm="1">
        <f t="array" ref="B911">IFERROR(INDEX('03.Muestra'!$C$8:$C$42,SMALL(IF("Página Web"='03.Muestra'!$D$8:$D$42,ROW('03.Muestra'!$C$8:$C$42)-MIN(ROW('03.Muestra'!$D$8:$D$42))+1,""),ROW()-892)),"")</f>
        <v/>
      </c>
      <c r="C911" s="114" t="str" cm="1">
        <f t="array" ref="C911">IFERROR(INDEX('03.Muestra'!$F$8:$F$42,SMALL(IF("Página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t="str" cm="1">
        <f t="array" ref="A912">IFERROR(INDEX('03.Muestra'!$B$8:$B$42,SMALL(IF("Página Web"='03.Muestra'!$D$8:$D$42,ROW('03.Muestra'!$B$8:$B$42)-MIN(ROW('03.Muestra'!$D$8:$D$42))+1,""),ROW()-892)),"")</f>
        <v/>
      </c>
      <c r="B912" s="114" t="str" cm="1">
        <f t="array" ref="B912">IFERROR(INDEX('03.Muestra'!$C$8:$C$42,SMALL(IF("Página Web"='03.Muestra'!$D$8:$D$42,ROW('03.Muestra'!$C$8:$C$42)-MIN(ROW('03.Muestra'!$D$8:$D$42))+1,""),ROW()-892)),"")</f>
        <v/>
      </c>
      <c r="C912" s="114" t="str" cm="1">
        <f t="array" ref="C912">IFERROR(INDEX('03.Muestra'!$F$8:$F$42,SMALL(IF("Página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268</v>
      </c>
      <c r="B930" s="24" t="s">
        <v>90</v>
      </c>
      <c r="C930" s="25" t="s">
        <v>397</v>
      </c>
      <c r="D930" s="26" t="s">
        <v>32</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https://www.comunidad.madrid/hospital/clinicosancarlos/</v>
      </c>
      <c r="D931" s="130" t="s">
        <v>35</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Ciudadanos</v>
      </c>
      <c r="C932" s="114" t="str" cm="1">
        <f t="array" ref="C932">IFERROR(INDEX('03.Muestra'!$F$8:$F$42,SMALL(IF("Página Web"='03.Muestra'!$D$8:$D$42,ROW('03.Muestra'!$F$8:$F$42)-MIN(ROW('03.Muestra'!$D$8:$D$42))+1,""),ROW()-930)),"")</f>
        <v>https://www.comunidad.madrid/hospital/clinicosancarlos/ciudadanos</v>
      </c>
      <c r="D932" s="130" t="s">
        <v>35</v>
      </c>
      <c r="E932" s="107" t="str">
        <f t="shared" si="48"/>
        <v/>
      </c>
      <c r="F932" s="120">
        <f ca="1">COUNTIF($D931:INDIRECT("$D" &amp;  SUM(ROW()-1,'03.Muestra'!$D$45)-1),F931)</f>
        <v>0</v>
      </c>
      <c r="G932" s="120">
        <f ca="1">COUNTIF($D931:INDIRECT("$D" &amp;  SUM(ROW()-1,'03.Muestra'!$D$45)-1),G931)</f>
        <v>0</v>
      </c>
      <c r="H932" s="120">
        <f ca="1">COUNTIF($D931:INDIRECT("$D" &amp;  SUM(ROW()-1,'03.Muestra'!$D$45)-1),H931)</f>
        <v>16</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Consultas externas</v>
      </c>
      <c r="C933" s="114" t="str" cm="1">
        <f t="array" ref="C933">IFERROR(INDEX('03.Muestra'!$F$8:$F$42,SMALL(IF("Página Web"='03.Muestra'!$D$8:$D$42,ROW('03.Muestra'!$F$8:$F$42)-MIN(ROW('03.Muestra'!$D$8:$D$42))+1,""),ROW()-930)),"")</f>
        <v>https://www.comunidad.madrid/hospital/clinicosancarlos/ciudadanos/consultas-externas</v>
      </c>
      <c r="D933" s="130" t="s">
        <v>35</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Donación</v>
      </c>
      <c r="C934" s="114" t="str" cm="1">
        <f t="array" ref="C934">IFERROR(INDEX('03.Muestra'!$F$8:$F$42,SMALL(IF("Página Web"='03.Muestra'!$D$8:$D$42,ROW('03.Muestra'!$F$8:$F$42)-MIN(ROW('03.Muestra'!$D$8:$D$42))+1,""),ROW()-930)),"")</f>
        <v>https://www.comunidad.madrid/hospital/clinicosancarlos/ciudadanos/donacion-0</v>
      </c>
      <c r="D934" s="130" t="s">
        <v>35</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Profesionales</v>
      </c>
      <c r="C935" s="114" t="str" cm="1">
        <f t="array" ref="C935">IFERROR(INDEX('03.Muestra'!$F$8:$F$42,SMALL(IF("Página Web"='03.Muestra'!$D$8:$D$42,ROW('03.Muestra'!$F$8:$F$42)-MIN(ROW('03.Muestra'!$D$8:$D$42))+1,""),ROW()-930)),"")</f>
        <v>https://www.comunidad.madrid/hospital/clinicosancarlos/profesionales</v>
      </c>
      <c r="D935" s="130" t="s">
        <v>35</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Docencia</v>
      </c>
      <c r="C936" s="114" t="str" cm="1">
        <f t="array" ref="C936">IFERROR(INDEX('03.Muestra'!$F$8:$F$42,SMALL(IF("Página Web"='03.Muestra'!$D$8:$D$42,ROW('03.Muestra'!$F$8:$F$42)-MIN(ROW('03.Muestra'!$D$8:$D$42))+1,""),ROW()-930)),"")</f>
        <v>https://www.comunidad.madrid/hospital/clinicosancarlos/profesionales/docencia</v>
      </c>
      <c r="D936" s="130" t="s">
        <v>35</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Referencia</v>
      </c>
      <c r="C937" s="114" t="str" cm="1">
        <f t="array" ref="C937">IFERROR(INDEX('03.Muestra'!$F$8:$F$42,SMALL(IF("Página Web"='03.Muestra'!$D$8:$D$42,ROW('03.Muestra'!$F$8:$F$42)-MIN(ROW('03.Muestra'!$D$8:$D$42))+1,""),ROW()-930)),"")</f>
        <v>https://www.comunidad.madrid/hospital/clinicosancarlos/profesionales/unidades-referencia-nacional-redes-europeas</v>
      </c>
      <c r="D937" s="130" t="s">
        <v>35</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Comunicación</v>
      </c>
      <c r="C938" s="114" t="str" cm="1">
        <f t="array" ref="C938">IFERROR(INDEX('03.Muestra'!$F$8:$F$42,SMALL(IF("Página Web"='03.Muestra'!$D$8:$D$42,ROW('03.Muestra'!$F$8:$F$42)-MIN(ROW('03.Muestra'!$D$8:$D$42))+1,""),ROW()-930)),"")</f>
        <v>https://www.comunidad.madrid/hospital/clinicosancarlos/comunicacion</v>
      </c>
      <c r="D938" s="130" t="s">
        <v>35</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Videoteca</v>
      </c>
      <c r="C939" s="114" t="str" cm="1">
        <f t="array" ref="C939">IFERROR(INDEX('03.Muestra'!$F$8:$F$42,SMALL(IF("Página Web"='03.Muestra'!$D$8:$D$42,ROW('03.Muestra'!$F$8:$F$42)-MIN(ROW('03.Muestra'!$D$8:$D$42))+1,""),ROW()-930)),"")</f>
        <v>https://www.comunidad.madrid/hospital/clinicosancarlos/comunicacion/videoteca</v>
      </c>
      <c r="D939" s="130" t="s">
        <v>35</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Noticias</v>
      </c>
      <c r="C940" s="114" t="str" cm="1">
        <f t="array" ref="C940">IFERROR(INDEX('03.Muestra'!$F$8:$F$42,SMALL(IF("Página Web"='03.Muestra'!$D$8:$D$42,ROW('03.Muestra'!$F$8:$F$42)-MIN(ROW('03.Muestra'!$D$8:$D$42))+1,""),ROW()-930)),"")</f>
        <v>https://www.comunidad.madrid/hospital/clinicosancarlos/comunicacion/noticias</v>
      </c>
      <c r="D940" s="130" t="s">
        <v>35</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Nosotros</v>
      </c>
      <c r="C941" s="114" t="str" cm="1">
        <f t="array" ref="C941">IFERROR(INDEX('03.Muestra'!$F$8:$F$42,SMALL(IF("Página Web"='03.Muestra'!$D$8:$D$42,ROW('03.Muestra'!$F$8:$F$42)-MIN(ROW('03.Muestra'!$D$8:$D$42))+1,""),ROW()-930)),"")</f>
        <v>https://www.comunidad.madrid/hospital/clinicosancarlos/nosotros</v>
      </c>
      <c r="D941" s="130" t="s">
        <v>35</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Gestión Ambiental</v>
      </c>
      <c r="C942" s="114" t="str" cm="1">
        <f t="array" ref="C942">IFERROR(INDEX('03.Muestra'!$F$8:$F$42,SMALL(IF("Página Web"='03.Muestra'!$D$8:$D$42,ROW('03.Muestra'!$F$8:$F$42)-MIN(ROW('03.Muestra'!$D$8:$D$42))+1,""),ROW()-930)),"")</f>
        <v>https://www.comunidad.madrid/hospital/clinicosancarlos/nosotros/gestion-ambiental</v>
      </c>
      <c r="D942" s="130" t="s">
        <v>35</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Proveedores</v>
      </c>
      <c r="C943" s="114" t="str" cm="1">
        <f t="array" ref="C943">IFERROR(INDEX('03.Muestra'!$F$8:$F$42,SMALL(IF("Página Web"='03.Muestra'!$D$8:$D$42,ROW('03.Muestra'!$F$8:$F$42)-MIN(ROW('03.Muestra'!$D$8:$D$42))+1,""),ROW()-930)),"")</f>
        <v>https://www.comunidad.madrid/hospital/clinicosancarlos/nosotros/proveedores-0</v>
      </c>
      <c r="D943" s="130" t="s">
        <v>35</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Aviso legal</v>
      </c>
      <c r="C944" s="114" t="str" cm="1">
        <f t="array" ref="C944">IFERROR(INDEX('03.Muestra'!$F$8:$F$42,SMALL(IF("Página Web"='03.Muestra'!$D$8:$D$42,ROW('03.Muestra'!$F$8:$F$42)-MIN(ROW('03.Muestra'!$D$8:$D$42))+1,""),ROW()-930)),"")</f>
        <v>https://www.comunidad.madrid/hospital/clinicosancarlos/aviso-legal-privacidad</v>
      </c>
      <c r="D944" s="130" t="s">
        <v>35</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Mapa web</v>
      </c>
      <c r="C945" s="114" t="str" cm="1">
        <f t="array" ref="C945">IFERROR(INDEX('03.Muestra'!$F$8:$F$42,SMALL(IF("Página Web"='03.Muestra'!$D$8:$D$42,ROW('03.Muestra'!$F$8:$F$42)-MIN(ROW('03.Muestra'!$D$8:$D$42))+1,""),ROW()-930)),"")</f>
        <v>https://www.comunidad.madrid/hospital/clinicosancarlos/sitemap</v>
      </c>
      <c r="D945" s="130" t="s">
        <v>35</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Accesibilidad</v>
      </c>
      <c r="C946" s="114" t="str" cm="1">
        <f t="array" ref="C946">IFERROR(INDEX('03.Muestra'!$F$8:$F$42,SMALL(IF("Página Web"='03.Muestra'!$D$8:$D$42,ROW('03.Muestra'!$F$8:$F$42)-MIN(ROW('03.Muestra'!$D$8:$D$42))+1,""),ROW()-930)),"")</f>
        <v>https://www.comunidad.madrid/hospital/clinicosancarlos/declaracion-accesibilidad</v>
      </c>
      <c r="D946" s="130" t="s">
        <v>35</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t="str" cm="1">
        <f t="array" ref="A947">IFERROR(INDEX('03.Muestra'!$B$8:$B$42,SMALL(IF("Página Web"='03.Muestra'!$D$8:$D$42,ROW('03.Muestra'!$B$8:$B$42)-MIN(ROW('03.Muestra'!$D$8:$D$42))+1,""),ROW()-930)),"")</f>
        <v/>
      </c>
      <c r="B947" s="114" t="str" cm="1">
        <f t="array" ref="B947">IFERROR(INDEX('03.Muestra'!$C$8:$C$42,SMALL(IF("Página Web"='03.Muestra'!$D$8:$D$42,ROW('03.Muestra'!$C$8:$C$42)-MIN(ROW('03.Muestra'!$D$8:$D$42))+1,""),ROW()-930)),"")</f>
        <v/>
      </c>
      <c r="C947" s="114" t="str" cm="1">
        <f t="array" ref="C947">IFERROR(INDEX('03.Muestra'!$F$8:$F$42,SMALL(IF("Página Web"='03.Muestra'!$D$8:$D$42,ROW('03.Muestra'!$F$8:$F$42)-MIN(ROW('03.Muestra'!$D$8:$D$42))+1,""),ROW()-930)),"")</f>
        <v/>
      </c>
      <c r="D947" s="130" t="str">
        <f t="shared" ref="D947:D965" si="49">IF(AND(B947&lt;&gt;"",C947&lt;&gt;""),"N/T","")</f>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t="str" cm="1">
        <f t="array" ref="A948">IFERROR(INDEX('03.Muestra'!$B$8:$B$42,SMALL(IF("Página Web"='03.Muestra'!$D$8:$D$42,ROW('03.Muestra'!$B$8:$B$42)-MIN(ROW('03.Muestra'!$D$8:$D$42))+1,""),ROW()-930)),"")</f>
        <v/>
      </c>
      <c r="B948" s="114" t="str" cm="1">
        <f t="array" ref="B948">IFERROR(INDEX('03.Muestra'!$C$8:$C$42,SMALL(IF("Página Web"='03.Muestra'!$D$8:$D$42,ROW('03.Muestra'!$C$8:$C$42)-MIN(ROW('03.Muestra'!$D$8:$D$42))+1,""),ROW()-930)),"")</f>
        <v/>
      </c>
      <c r="C948" s="114" t="str" cm="1">
        <f t="array" ref="C948">IFERROR(INDEX('03.Muestra'!$F$8:$F$42,SMALL(IF("Página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t="str" cm="1">
        <f t="array" ref="A949">IFERROR(INDEX('03.Muestra'!$B$8:$B$42,SMALL(IF("Página Web"='03.Muestra'!$D$8:$D$42,ROW('03.Muestra'!$B$8:$B$42)-MIN(ROW('03.Muestra'!$D$8:$D$42))+1,""),ROW()-930)),"")</f>
        <v/>
      </c>
      <c r="B949" s="114" t="str" cm="1">
        <f t="array" ref="B949">IFERROR(INDEX('03.Muestra'!$C$8:$C$42,SMALL(IF("Página Web"='03.Muestra'!$D$8:$D$42,ROW('03.Muestra'!$C$8:$C$42)-MIN(ROW('03.Muestra'!$D$8:$D$42))+1,""),ROW()-930)),"")</f>
        <v/>
      </c>
      <c r="C949" s="114" t="str" cm="1">
        <f t="array" ref="C949">IFERROR(INDEX('03.Muestra'!$F$8:$F$42,SMALL(IF("Página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t="str" cm="1">
        <f t="array" ref="A950">IFERROR(INDEX('03.Muestra'!$B$8:$B$42,SMALL(IF("Página Web"='03.Muestra'!$D$8:$D$42,ROW('03.Muestra'!$B$8:$B$42)-MIN(ROW('03.Muestra'!$D$8:$D$42))+1,""),ROW()-930)),"")</f>
        <v/>
      </c>
      <c r="B950" s="114" t="str" cm="1">
        <f t="array" ref="B950">IFERROR(INDEX('03.Muestra'!$C$8:$C$42,SMALL(IF("Página Web"='03.Muestra'!$D$8:$D$42,ROW('03.Muestra'!$C$8:$C$42)-MIN(ROW('03.Muestra'!$D$8:$D$42))+1,""),ROW()-930)),"")</f>
        <v/>
      </c>
      <c r="C950" s="114" t="str" cm="1">
        <f t="array" ref="C950">IFERROR(INDEX('03.Muestra'!$F$8:$F$42,SMALL(IF("Página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268</v>
      </c>
      <c r="B968" s="24" t="s">
        <v>90</v>
      </c>
      <c r="C968" s="25" t="s">
        <v>398</v>
      </c>
      <c r="D968" s="26" t="s">
        <v>32</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https://www.comunidad.madrid/hospital/clinicosancarlos/</v>
      </c>
      <c r="D969" s="130" t="s">
        <v>35</v>
      </c>
      <c r="E969" s="107" t="str">
        <f t="shared" ref="E969:E1003"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Ciudadanos</v>
      </c>
      <c r="C970" s="114" t="str" cm="1">
        <f t="array" ref="C970">IFERROR(INDEX('03.Muestra'!$F$8:$F$42,SMALL(IF("Página Web"='03.Muestra'!$D$8:$D$42,ROW('03.Muestra'!$F$8:$F$42)-MIN(ROW('03.Muestra'!$D$8:$D$42))+1,""),ROW()-968)),"")</f>
        <v>https://www.comunidad.madrid/hospital/clinicosancarlos/ciudadanos</v>
      </c>
      <c r="D970" s="130" t="s">
        <v>35</v>
      </c>
      <c r="E970" s="107" t="str">
        <f t="shared" si="50"/>
        <v/>
      </c>
      <c r="F970" s="120">
        <f ca="1">COUNTIF($D969:INDIRECT("$D" &amp;  SUM(ROW()-1,'03.Muestra'!$D$45)-1),F969)</f>
        <v>0</v>
      </c>
      <c r="G970" s="120">
        <f ca="1">COUNTIF($D969:INDIRECT("$D" &amp;  SUM(ROW()-1,'03.Muestra'!$D$45)-1),G969)</f>
        <v>0</v>
      </c>
      <c r="H970" s="120">
        <f ca="1">COUNTIF($D969:INDIRECT("$D" &amp;  SUM(ROW()-1,'03.Muestra'!$D$45)-1),H969)</f>
        <v>16</v>
      </c>
      <c r="I970" s="120">
        <f ca="1">COUNTIF($D969:INDIRECT("$D" &amp;  SUM(ROW()-1,'03.Muestra'!$D$45)-1),I969)</f>
        <v>0</v>
      </c>
      <c r="J970" s="120">
        <f ca="1">COUNTIF($D969:INDIRECT("$D" &amp;  SUM(ROW()-1,'03.Muestra'!$D$45)-1),J969)</f>
        <v>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Consultas externas</v>
      </c>
      <c r="C971" s="114" t="str" cm="1">
        <f t="array" ref="C971">IFERROR(INDEX('03.Muestra'!$F$8:$F$42,SMALL(IF("Página Web"='03.Muestra'!$D$8:$D$42,ROW('03.Muestra'!$F$8:$F$42)-MIN(ROW('03.Muestra'!$D$8:$D$42))+1,""),ROW()-968)),"")</f>
        <v>https://www.comunidad.madrid/hospital/clinicosancarlos/ciudadanos/consultas-externas</v>
      </c>
      <c r="D971" s="130" t="s">
        <v>35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Donación</v>
      </c>
      <c r="C972" s="114" t="str" cm="1">
        <f t="array" ref="C972">IFERROR(INDEX('03.Muestra'!$F$8:$F$42,SMALL(IF("Página Web"='03.Muestra'!$D$8:$D$42,ROW('03.Muestra'!$F$8:$F$42)-MIN(ROW('03.Muestra'!$D$8:$D$42))+1,""),ROW()-968)),"")</f>
        <v>https://www.comunidad.madrid/hospital/clinicosancarlos/ciudadanos/donacion-0</v>
      </c>
      <c r="D972" s="130" t="s">
        <v>35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Profesionales</v>
      </c>
      <c r="C973" s="114" t="str" cm="1">
        <f t="array" ref="C973">IFERROR(INDEX('03.Muestra'!$F$8:$F$42,SMALL(IF("Página Web"='03.Muestra'!$D$8:$D$42,ROW('03.Muestra'!$F$8:$F$42)-MIN(ROW('03.Muestra'!$D$8:$D$42))+1,""),ROW()-968)),"")</f>
        <v>https://www.comunidad.madrid/hospital/clinicosancarlos/profesionales</v>
      </c>
      <c r="D973" s="130" t="s">
        <v>35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Docencia</v>
      </c>
      <c r="C974" s="114" t="str" cm="1">
        <f t="array" ref="C974">IFERROR(INDEX('03.Muestra'!$F$8:$F$42,SMALL(IF("Página Web"='03.Muestra'!$D$8:$D$42,ROW('03.Muestra'!$F$8:$F$42)-MIN(ROW('03.Muestra'!$D$8:$D$42))+1,""),ROW()-968)),"")</f>
        <v>https://www.comunidad.madrid/hospital/clinicosancarlos/profesionales/docencia</v>
      </c>
      <c r="D974" s="130" t="s">
        <v>35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Referencia</v>
      </c>
      <c r="C975" s="114" t="str" cm="1">
        <f t="array" ref="C975">IFERROR(INDEX('03.Muestra'!$F$8:$F$42,SMALL(IF("Página Web"='03.Muestra'!$D$8:$D$42,ROW('03.Muestra'!$F$8:$F$42)-MIN(ROW('03.Muestra'!$D$8:$D$42))+1,""),ROW()-968)),"")</f>
        <v>https://www.comunidad.madrid/hospital/clinicosancarlos/profesionales/unidades-referencia-nacional-redes-europeas</v>
      </c>
      <c r="D975" s="130" t="s">
        <v>35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Comunicación</v>
      </c>
      <c r="C976" s="114" t="str" cm="1">
        <f t="array" ref="C976">IFERROR(INDEX('03.Muestra'!$F$8:$F$42,SMALL(IF("Página Web"='03.Muestra'!$D$8:$D$42,ROW('03.Muestra'!$F$8:$F$42)-MIN(ROW('03.Muestra'!$D$8:$D$42))+1,""),ROW()-968)),"")</f>
        <v>https://www.comunidad.madrid/hospital/clinicosancarlos/comunicacion</v>
      </c>
      <c r="D976" s="130" t="s">
        <v>35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Videoteca</v>
      </c>
      <c r="C977" s="114" t="str" cm="1">
        <f t="array" ref="C977">IFERROR(INDEX('03.Muestra'!$F$8:$F$42,SMALL(IF("Página Web"='03.Muestra'!$D$8:$D$42,ROW('03.Muestra'!$F$8:$F$42)-MIN(ROW('03.Muestra'!$D$8:$D$42))+1,""),ROW()-968)),"")</f>
        <v>https://www.comunidad.madrid/hospital/clinicosancarlos/comunicacion/videoteca</v>
      </c>
      <c r="D977" s="130" t="s">
        <v>35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Noticias</v>
      </c>
      <c r="C978" s="114" t="str" cm="1">
        <f t="array" ref="C978">IFERROR(INDEX('03.Muestra'!$F$8:$F$42,SMALL(IF("Página Web"='03.Muestra'!$D$8:$D$42,ROW('03.Muestra'!$F$8:$F$42)-MIN(ROW('03.Muestra'!$D$8:$D$42))+1,""),ROW()-968)),"")</f>
        <v>https://www.comunidad.madrid/hospital/clinicosancarlos/comunicacion/noticias</v>
      </c>
      <c r="D978" s="130" t="s">
        <v>35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Nosotros</v>
      </c>
      <c r="C979" s="114" t="str" cm="1">
        <f t="array" ref="C979">IFERROR(INDEX('03.Muestra'!$F$8:$F$42,SMALL(IF("Página Web"='03.Muestra'!$D$8:$D$42,ROW('03.Muestra'!$F$8:$F$42)-MIN(ROW('03.Muestra'!$D$8:$D$42))+1,""),ROW()-968)),"")</f>
        <v>https://www.comunidad.madrid/hospital/clinicosancarlos/nosotros</v>
      </c>
      <c r="D979" s="130" t="s">
        <v>35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Gestión Ambiental</v>
      </c>
      <c r="C980" s="114" t="str" cm="1">
        <f t="array" ref="C980">IFERROR(INDEX('03.Muestra'!$F$8:$F$42,SMALL(IF("Página Web"='03.Muestra'!$D$8:$D$42,ROW('03.Muestra'!$F$8:$F$42)-MIN(ROW('03.Muestra'!$D$8:$D$42))+1,""),ROW()-968)),"")</f>
        <v>https://www.comunidad.madrid/hospital/clinicosancarlos/nosotros/gestion-ambiental</v>
      </c>
      <c r="D980" s="130" t="s">
        <v>35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Proveedores</v>
      </c>
      <c r="C981" s="114" t="str" cm="1">
        <f t="array" ref="C981">IFERROR(INDEX('03.Muestra'!$F$8:$F$42,SMALL(IF("Página Web"='03.Muestra'!$D$8:$D$42,ROW('03.Muestra'!$F$8:$F$42)-MIN(ROW('03.Muestra'!$D$8:$D$42))+1,""),ROW()-968)),"")</f>
        <v>https://www.comunidad.madrid/hospital/clinicosancarlos/nosotros/proveedores-0</v>
      </c>
      <c r="D981" s="130" t="s">
        <v>35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Aviso legal</v>
      </c>
      <c r="C982" s="114" t="str" cm="1">
        <f t="array" ref="C982">IFERROR(INDEX('03.Muestra'!$F$8:$F$42,SMALL(IF("Página Web"='03.Muestra'!$D$8:$D$42,ROW('03.Muestra'!$F$8:$F$42)-MIN(ROW('03.Muestra'!$D$8:$D$42))+1,""),ROW()-968)),"")</f>
        <v>https://www.comunidad.madrid/hospital/clinicosancarlos/aviso-legal-privacidad</v>
      </c>
      <c r="D982" s="130" t="s">
        <v>35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Mapa web</v>
      </c>
      <c r="C983" s="114" t="str" cm="1">
        <f t="array" ref="C983">IFERROR(INDEX('03.Muestra'!$F$8:$F$42,SMALL(IF("Página Web"='03.Muestra'!$D$8:$D$42,ROW('03.Muestra'!$F$8:$F$42)-MIN(ROW('03.Muestra'!$D$8:$D$42))+1,""),ROW()-968)),"")</f>
        <v>https://www.comunidad.madrid/hospital/clinicosancarlos/sitemap</v>
      </c>
      <c r="D983" s="130" t="s">
        <v>35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Accesibilidad</v>
      </c>
      <c r="C984" s="114" t="str" cm="1">
        <f t="array" ref="C984">IFERROR(INDEX('03.Muestra'!$F$8:$F$42,SMALL(IF("Página Web"='03.Muestra'!$D$8:$D$42,ROW('03.Muestra'!$F$8:$F$42)-MIN(ROW('03.Muestra'!$D$8:$D$42))+1,""),ROW()-968)),"")</f>
        <v>https://www.comunidad.madrid/hospital/clinicosancarlos/declaracion-accesibilidad</v>
      </c>
      <c r="D984" s="130" t="s">
        <v>35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t="str" cm="1">
        <f t="array" ref="A985">IFERROR(INDEX('03.Muestra'!$B$8:$B$42,SMALL(IF("Página Web"='03.Muestra'!$D$8:$D$42,ROW('03.Muestra'!$B$8:$B$42)-MIN(ROW('03.Muestra'!$D$8:$D$42))+1,""),ROW()-968)),"")</f>
        <v/>
      </c>
      <c r="B985" s="114" t="str" cm="1">
        <f t="array" ref="B985">IFERROR(INDEX('03.Muestra'!$C$8:$C$42,SMALL(IF("Página Web"='03.Muestra'!$D$8:$D$42,ROW('03.Muestra'!$C$8:$C$42)-MIN(ROW('03.Muestra'!$D$8:$D$42))+1,""),ROW()-968)),"")</f>
        <v/>
      </c>
      <c r="C985" s="114" t="str" cm="1">
        <f t="array" ref="C985">IFERROR(INDEX('03.Muestra'!$F$8:$F$42,SMALL(IF("Página Web"='03.Muestra'!$D$8:$D$42,ROW('03.Muestra'!$F$8:$F$42)-MIN(ROW('03.Muestra'!$D$8:$D$42))+1,""),ROW()-968)),"")</f>
        <v/>
      </c>
      <c r="D985" s="130" t="str">
        <f t="shared" ref="D985:D1003" si="51">IF(AND(B985&lt;&gt;"",C985&lt;&gt;""),"N/T","")</f>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t="str" cm="1">
        <f t="array" ref="A986">IFERROR(INDEX('03.Muestra'!$B$8:$B$42,SMALL(IF("Página Web"='03.Muestra'!$D$8:$D$42,ROW('03.Muestra'!$B$8:$B$42)-MIN(ROW('03.Muestra'!$D$8:$D$42))+1,""),ROW()-968)),"")</f>
        <v/>
      </c>
      <c r="B986" s="114" t="str" cm="1">
        <f t="array" ref="B986">IFERROR(INDEX('03.Muestra'!$C$8:$C$42,SMALL(IF("Página Web"='03.Muestra'!$D$8:$D$42,ROW('03.Muestra'!$C$8:$C$42)-MIN(ROW('03.Muestra'!$D$8:$D$42))+1,""),ROW()-968)),"")</f>
        <v/>
      </c>
      <c r="C986" s="114" t="str" cm="1">
        <f t="array" ref="C986">IFERROR(INDEX('03.Muestra'!$F$8:$F$42,SMALL(IF("Página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t="str" cm="1">
        <f t="array" ref="A987">IFERROR(INDEX('03.Muestra'!$B$8:$B$42,SMALL(IF("Página Web"='03.Muestra'!$D$8:$D$42,ROW('03.Muestra'!$B$8:$B$42)-MIN(ROW('03.Muestra'!$D$8:$D$42))+1,""),ROW()-968)),"")</f>
        <v/>
      </c>
      <c r="B987" s="114" t="str" cm="1">
        <f t="array" ref="B987">IFERROR(INDEX('03.Muestra'!$C$8:$C$42,SMALL(IF("Página Web"='03.Muestra'!$D$8:$D$42,ROW('03.Muestra'!$C$8:$C$42)-MIN(ROW('03.Muestra'!$D$8:$D$42))+1,""),ROW()-968)),"")</f>
        <v/>
      </c>
      <c r="C987" s="114" t="str" cm="1">
        <f t="array" ref="C987">IFERROR(INDEX('03.Muestra'!$F$8:$F$42,SMALL(IF("Página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t="str" cm="1">
        <f t="array" ref="A988">IFERROR(INDEX('03.Muestra'!$B$8:$B$42,SMALL(IF("Página Web"='03.Muestra'!$D$8:$D$42,ROW('03.Muestra'!$B$8:$B$42)-MIN(ROW('03.Muestra'!$D$8:$D$42))+1,""),ROW()-968)),"")</f>
        <v/>
      </c>
      <c r="B988" s="114" t="str" cm="1">
        <f t="array" ref="B988">IFERROR(INDEX('03.Muestra'!$C$8:$C$42,SMALL(IF("Página Web"='03.Muestra'!$D$8:$D$42,ROW('03.Muestra'!$C$8:$C$42)-MIN(ROW('03.Muestra'!$D$8:$D$42))+1,""),ROW()-968)),"")</f>
        <v/>
      </c>
      <c r="C988" s="114" t="str" cm="1">
        <f t="array" ref="C988">IFERROR(INDEX('03.Muestra'!$F$8:$F$42,SMALL(IF("Página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268</v>
      </c>
      <c r="B1006" s="24" t="s">
        <v>90</v>
      </c>
      <c r="C1006" s="25" t="s">
        <v>399</v>
      </c>
      <c r="D1006" s="26" t="s">
        <v>32</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https://www.comunidad.madrid/hospital/clinicosancarlos/</v>
      </c>
      <c r="D1007" s="130" t="s">
        <v>26</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Ciudadanos</v>
      </c>
      <c r="C1008" s="114" t="str" cm="1">
        <f t="array" ref="C1008">IFERROR(INDEX('03.Muestra'!$F$8:$F$42,SMALL(IF("Página Web"='03.Muestra'!$D$8:$D$42,ROW('03.Muestra'!$F$8:$F$42)-MIN(ROW('03.Muestra'!$D$8:$D$42))+1,""),ROW()-1006)),"")</f>
        <v>https://www.comunidad.madrid/hospital/clinicosancarlos/ciudadanos</v>
      </c>
      <c r="D1008" s="130" t="s">
        <v>26</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16</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Consultas externas</v>
      </c>
      <c r="C1009" s="114" t="str" cm="1">
        <f t="array" ref="C1009">IFERROR(INDEX('03.Muestra'!$F$8:$F$42,SMALL(IF("Página Web"='03.Muestra'!$D$8:$D$42,ROW('03.Muestra'!$F$8:$F$42)-MIN(ROW('03.Muestra'!$D$8:$D$42))+1,""),ROW()-1006)),"")</f>
        <v>https://www.comunidad.madrid/hospital/clinicosancarlos/ciudadanos/consultas-externas</v>
      </c>
      <c r="D1009" s="130" t="s">
        <v>26</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Donación</v>
      </c>
      <c r="C1010" s="114" t="str" cm="1">
        <f t="array" ref="C1010">IFERROR(INDEX('03.Muestra'!$F$8:$F$42,SMALL(IF("Página Web"='03.Muestra'!$D$8:$D$42,ROW('03.Muestra'!$F$8:$F$42)-MIN(ROW('03.Muestra'!$D$8:$D$42))+1,""),ROW()-1006)),"")</f>
        <v>https://www.comunidad.madrid/hospital/clinicosancarlos/ciudadanos/donacion-0</v>
      </c>
      <c r="D1010" s="130" t="s">
        <v>26</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Profesionales</v>
      </c>
      <c r="C1011" s="114" t="str" cm="1">
        <f t="array" ref="C1011">IFERROR(INDEX('03.Muestra'!$F$8:$F$42,SMALL(IF("Página Web"='03.Muestra'!$D$8:$D$42,ROW('03.Muestra'!$F$8:$F$42)-MIN(ROW('03.Muestra'!$D$8:$D$42))+1,""),ROW()-1006)),"")</f>
        <v>https://www.comunidad.madrid/hospital/clinicosancarlos/profesionales</v>
      </c>
      <c r="D1011" s="130" t="s">
        <v>26</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Docencia</v>
      </c>
      <c r="C1012" s="114" t="str" cm="1">
        <f t="array" ref="C1012">IFERROR(INDEX('03.Muestra'!$F$8:$F$42,SMALL(IF("Página Web"='03.Muestra'!$D$8:$D$42,ROW('03.Muestra'!$F$8:$F$42)-MIN(ROW('03.Muestra'!$D$8:$D$42))+1,""),ROW()-1006)),"")</f>
        <v>https://www.comunidad.madrid/hospital/clinicosancarlos/profesionales/docencia</v>
      </c>
      <c r="D1012" s="130" t="s">
        <v>26</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Referencia</v>
      </c>
      <c r="C1013" s="114" t="str" cm="1">
        <f t="array" ref="C1013">IFERROR(INDEX('03.Muestra'!$F$8:$F$42,SMALL(IF("Página Web"='03.Muestra'!$D$8:$D$42,ROW('03.Muestra'!$F$8:$F$42)-MIN(ROW('03.Muestra'!$D$8:$D$42))+1,""),ROW()-1006)),"")</f>
        <v>https://www.comunidad.madrid/hospital/clinicosancarlos/profesionales/unidades-referencia-nacional-redes-europeas</v>
      </c>
      <c r="D1013" s="130" t="s">
        <v>26</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Comunicación</v>
      </c>
      <c r="C1014" s="114" t="str" cm="1">
        <f t="array" ref="C1014">IFERROR(INDEX('03.Muestra'!$F$8:$F$42,SMALL(IF("Página Web"='03.Muestra'!$D$8:$D$42,ROW('03.Muestra'!$F$8:$F$42)-MIN(ROW('03.Muestra'!$D$8:$D$42))+1,""),ROW()-1006)),"")</f>
        <v>https://www.comunidad.madrid/hospital/clinicosancarlos/comunicacion</v>
      </c>
      <c r="D1014" s="130" t="s">
        <v>26</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Videoteca</v>
      </c>
      <c r="C1015" s="114" t="str" cm="1">
        <f t="array" ref="C1015">IFERROR(INDEX('03.Muestra'!$F$8:$F$42,SMALL(IF("Página Web"='03.Muestra'!$D$8:$D$42,ROW('03.Muestra'!$F$8:$F$42)-MIN(ROW('03.Muestra'!$D$8:$D$42))+1,""),ROW()-1006)),"")</f>
        <v>https://www.comunidad.madrid/hospital/clinicosancarlos/comunicacion/videoteca</v>
      </c>
      <c r="D1015" s="130" t="s">
        <v>26</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Noticias</v>
      </c>
      <c r="C1016" s="114" t="str" cm="1">
        <f t="array" ref="C1016">IFERROR(INDEX('03.Muestra'!$F$8:$F$42,SMALL(IF("Página Web"='03.Muestra'!$D$8:$D$42,ROW('03.Muestra'!$F$8:$F$42)-MIN(ROW('03.Muestra'!$D$8:$D$42))+1,""),ROW()-1006)),"")</f>
        <v>https://www.comunidad.madrid/hospital/clinicosancarlos/comunicacion/noticias</v>
      </c>
      <c r="D1016" s="130" t="s">
        <v>26</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Nosotros</v>
      </c>
      <c r="C1017" s="114" t="str" cm="1">
        <f t="array" ref="C1017">IFERROR(INDEX('03.Muestra'!$F$8:$F$42,SMALL(IF("Página Web"='03.Muestra'!$D$8:$D$42,ROW('03.Muestra'!$F$8:$F$42)-MIN(ROW('03.Muestra'!$D$8:$D$42))+1,""),ROW()-1006)),"")</f>
        <v>https://www.comunidad.madrid/hospital/clinicosancarlos/nosotros</v>
      </c>
      <c r="D1017" s="130" t="s">
        <v>26</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Gestión Ambiental</v>
      </c>
      <c r="C1018" s="114" t="str" cm="1">
        <f t="array" ref="C1018">IFERROR(INDEX('03.Muestra'!$F$8:$F$42,SMALL(IF("Página Web"='03.Muestra'!$D$8:$D$42,ROW('03.Muestra'!$F$8:$F$42)-MIN(ROW('03.Muestra'!$D$8:$D$42))+1,""),ROW()-1006)),"")</f>
        <v>https://www.comunidad.madrid/hospital/clinicosancarlos/nosotros/gestion-ambiental</v>
      </c>
      <c r="D1018" s="130" t="s">
        <v>26</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Proveedores</v>
      </c>
      <c r="C1019" s="114" t="str" cm="1">
        <f t="array" ref="C1019">IFERROR(INDEX('03.Muestra'!$F$8:$F$42,SMALL(IF("Página Web"='03.Muestra'!$D$8:$D$42,ROW('03.Muestra'!$F$8:$F$42)-MIN(ROW('03.Muestra'!$D$8:$D$42))+1,""),ROW()-1006)),"")</f>
        <v>https://www.comunidad.madrid/hospital/clinicosancarlos/nosotros/proveedores-0</v>
      </c>
      <c r="D1019" s="130" t="s">
        <v>26</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Aviso legal</v>
      </c>
      <c r="C1020" s="114" t="str" cm="1">
        <f t="array" ref="C1020">IFERROR(INDEX('03.Muestra'!$F$8:$F$42,SMALL(IF("Página Web"='03.Muestra'!$D$8:$D$42,ROW('03.Muestra'!$F$8:$F$42)-MIN(ROW('03.Muestra'!$D$8:$D$42))+1,""),ROW()-1006)),"")</f>
        <v>https://www.comunidad.madrid/hospital/clinicosancarlos/aviso-legal-privacidad</v>
      </c>
      <c r="D1020" s="130" t="s">
        <v>26</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Mapa web</v>
      </c>
      <c r="C1021" s="114" t="str" cm="1">
        <f t="array" ref="C1021">IFERROR(INDEX('03.Muestra'!$F$8:$F$42,SMALL(IF("Página Web"='03.Muestra'!$D$8:$D$42,ROW('03.Muestra'!$F$8:$F$42)-MIN(ROW('03.Muestra'!$D$8:$D$42))+1,""),ROW()-1006)),"")</f>
        <v>https://www.comunidad.madrid/hospital/clinicosancarlos/sitemap</v>
      </c>
      <c r="D1021" s="130" t="s">
        <v>26</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Accesibilidad</v>
      </c>
      <c r="C1022" s="114" t="str" cm="1">
        <f t="array" ref="C1022">IFERROR(INDEX('03.Muestra'!$F$8:$F$42,SMALL(IF("Página Web"='03.Muestra'!$D$8:$D$42,ROW('03.Muestra'!$F$8:$F$42)-MIN(ROW('03.Muestra'!$D$8:$D$42))+1,""),ROW()-1006)),"")</f>
        <v>https://www.comunidad.madrid/hospital/clinicosancarlos/declaracion-accesibilidad</v>
      </c>
      <c r="D1022" s="130" t="s">
        <v>26</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t="str" cm="1">
        <f t="array" ref="A1023">IFERROR(INDEX('03.Muestra'!$B$8:$B$42,SMALL(IF("Página Web"='03.Muestra'!$D$8:$D$42,ROW('03.Muestra'!$B$8:$B$42)-MIN(ROW('03.Muestra'!$D$8:$D$42))+1,""),ROW()-1006)),"")</f>
        <v/>
      </c>
      <c r="B1023" s="114" t="str" cm="1">
        <f t="array" ref="B1023">IFERROR(INDEX('03.Muestra'!$C$8:$C$42,SMALL(IF("Página Web"='03.Muestra'!$D$8:$D$42,ROW('03.Muestra'!$C$8:$C$42)-MIN(ROW('03.Muestra'!$D$8:$D$42))+1,""),ROW()-1006)),"")</f>
        <v/>
      </c>
      <c r="C1023" s="114" t="str" cm="1">
        <f t="array" ref="C1023">IFERROR(INDEX('03.Muestra'!$F$8:$F$42,SMALL(IF("Página Web"='03.Muestra'!$D$8:$D$42,ROW('03.Muestra'!$F$8:$F$42)-MIN(ROW('03.Muestra'!$D$8:$D$42))+1,""),ROW()-1006)),"")</f>
        <v/>
      </c>
      <c r="D1023" s="130" t="str">
        <f t="shared" ref="D1023:D1041" si="53">IF(AND(B1023&lt;&gt;"",C1023&lt;&gt;""),"N/T","")</f>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t="str" cm="1">
        <f t="array" ref="A1024">IFERROR(INDEX('03.Muestra'!$B$8:$B$42,SMALL(IF("Página Web"='03.Muestra'!$D$8:$D$42,ROW('03.Muestra'!$B$8:$B$42)-MIN(ROW('03.Muestra'!$D$8:$D$42))+1,""),ROW()-1006)),"")</f>
        <v/>
      </c>
      <c r="B1024" s="114" t="str" cm="1">
        <f t="array" ref="B1024">IFERROR(INDEX('03.Muestra'!$C$8:$C$42,SMALL(IF("Página Web"='03.Muestra'!$D$8:$D$42,ROW('03.Muestra'!$C$8:$C$42)-MIN(ROW('03.Muestra'!$D$8:$D$42))+1,""),ROW()-1006)),"")</f>
        <v/>
      </c>
      <c r="C1024" s="114" t="str" cm="1">
        <f t="array" ref="C1024">IFERROR(INDEX('03.Muestra'!$F$8:$F$42,SMALL(IF("Página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t="str" cm="1">
        <f t="array" ref="A1025">IFERROR(INDEX('03.Muestra'!$B$8:$B$42,SMALL(IF("Página Web"='03.Muestra'!$D$8:$D$42,ROW('03.Muestra'!$B$8:$B$42)-MIN(ROW('03.Muestra'!$D$8:$D$42))+1,""),ROW()-1006)),"")</f>
        <v/>
      </c>
      <c r="B1025" s="114" t="str" cm="1">
        <f t="array" ref="B1025">IFERROR(INDEX('03.Muestra'!$C$8:$C$42,SMALL(IF("Página Web"='03.Muestra'!$D$8:$D$42,ROW('03.Muestra'!$C$8:$C$42)-MIN(ROW('03.Muestra'!$D$8:$D$42))+1,""),ROW()-1006)),"")</f>
        <v/>
      </c>
      <c r="C1025" s="114" t="str" cm="1">
        <f t="array" ref="C1025">IFERROR(INDEX('03.Muestra'!$F$8:$F$42,SMALL(IF("Página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t="str" cm="1">
        <f t="array" ref="A1026">IFERROR(INDEX('03.Muestra'!$B$8:$B$42,SMALL(IF("Página Web"='03.Muestra'!$D$8:$D$42,ROW('03.Muestra'!$B$8:$B$42)-MIN(ROW('03.Muestra'!$D$8:$D$42))+1,""),ROW()-1006)),"")</f>
        <v/>
      </c>
      <c r="B1026" s="114" t="str" cm="1">
        <f t="array" ref="B1026">IFERROR(INDEX('03.Muestra'!$C$8:$C$42,SMALL(IF("Página Web"='03.Muestra'!$D$8:$D$42,ROW('03.Muestra'!$C$8:$C$42)-MIN(ROW('03.Muestra'!$D$8:$D$42))+1,""),ROW()-1006)),"")</f>
        <v/>
      </c>
      <c r="C1026" s="114" t="str" cm="1">
        <f t="array" ref="C1026">IFERROR(INDEX('03.Muestra'!$F$8:$F$42,SMALL(IF("Página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268</v>
      </c>
      <c r="B1044" s="24" t="s">
        <v>90</v>
      </c>
      <c r="C1044" s="25" t="s">
        <v>400</v>
      </c>
      <c r="D1044" s="26" t="s">
        <v>32</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https://www.comunidad.madrid/hospital/clinicosancarlos/</v>
      </c>
      <c r="D1045" s="130" t="s">
        <v>26</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Ciudadanos</v>
      </c>
      <c r="C1046" s="114" t="str" cm="1">
        <f t="array" ref="C1046">IFERROR(INDEX('03.Muestra'!$F$8:$F$42,SMALL(IF("Página Web"='03.Muestra'!$D$8:$D$42,ROW('03.Muestra'!$F$8:$F$42)-MIN(ROW('03.Muestra'!$D$8:$D$42))+1,""),ROW()-1044)),"")</f>
        <v>https://www.comunidad.madrid/hospital/clinicosancarlos/ciudadanos</v>
      </c>
      <c r="D1046" s="130" t="s">
        <v>26</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16</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Consultas externas</v>
      </c>
      <c r="C1047" s="114" t="str" cm="1">
        <f t="array" ref="C1047">IFERROR(INDEX('03.Muestra'!$F$8:$F$42,SMALL(IF("Página Web"='03.Muestra'!$D$8:$D$42,ROW('03.Muestra'!$F$8:$F$42)-MIN(ROW('03.Muestra'!$D$8:$D$42))+1,""),ROW()-1044)),"")</f>
        <v>https://www.comunidad.madrid/hospital/clinicosancarlos/ciudadanos/consultas-externas</v>
      </c>
      <c r="D1047" s="130" t="s">
        <v>26</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Donación</v>
      </c>
      <c r="C1048" s="114" t="str" cm="1">
        <f t="array" ref="C1048">IFERROR(INDEX('03.Muestra'!$F$8:$F$42,SMALL(IF("Página Web"='03.Muestra'!$D$8:$D$42,ROW('03.Muestra'!$F$8:$F$42)-MIN(ROW('03.Muestra'!$D$8:$D$42))+1,""),ROW()-1044)),"")</f>
        <v>https://www.comunidad.madrid/hospital/clinicosancarlos/ciudadanos/donacion-0</v>
      </c>
      <c r="D1048" s="130" t="s">
        <v>26</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Profesionales</v>
      </c>
      <c r="C1049" s="114" t="str" cm="1">
        <f t="array" ref="C1049">IFERROR(INDEX('03.Muestra'!$F$8:$F$42,SMALL(IF("Página Web"='03.Muestra'!$D$8:$D$42,ROW('03.Muestra'!$F$8:$F$42)-MIN(ROW('03.Muestra'!$D$8:$D$42))+1,""),ROW()-1044)),"")</f>
        <v>https://www.comunidad.madrid/hospital/clinicosancarlos/profesionales</v>
      </c>
      <c r="D1049" s="130" t="s">
        <v>26</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Docencia</v>
      </c>
      <c r="C1050" s="114" t="str" cm="1">
        <f t="array" ref="C1050">IFERROR(INDEX('03.Muestra'!$F$8:$F$42,SMALL(IF("Página Web"='03.Muestra'!$D$8:$D$42,ROW('03.Muestra'!$F$8:$F$42)-MIN(ROW('03.Muestra'!$D$8:$D$42))+1,""),ROW()-1044)),"")</f>
        <v>https://www.comunidad.madrid/hospital/clinicosancarlos/profesionales/docencia</v>
      </c>
      <c r="D1050" s="130" t="s">
        <v>26</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Referencia</v>
      </c>
      <c r="C1051" s="114" t="str" cm="1">
        <f t="array" ref="C1051">IFERROR(INDEX('03.Muestra'!$F$8:$F$42,SMALL(IF("Página Web"='03.Muestra'!$D$8:$D$42,ROW('03.Muestra'!$F$8:$F$42)-MIN(ROW('03.Muestra'!$D$8:$D$42))+1,""),ROW()-1044)),"")</f>
        <v>https://www.comunidad.madrid/hospital/clinicosancarlos/profesionales/unidades-referencia-nacional-redes-europeas</v>
      </c>
      <c r="D1051" s="130" t="s">
        <v>26</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Comunicación</v>
      </c>
      <c r="C1052" s="114" t="str" cm="1">
        <f t="array" ref="C1052">IFERROR(INDEX('03.Muestra'!$F$8:$F$42,SMALL(IF("Página Web"='03.Muestra'!$D$8:$D$42,ROW('03.Muestra'!$F$8:$F$42)-MIN(ROW('03.Muestra'!$D$8:$D$42))+1,""),ROW()-1044)),"")</f>
        <v>https://www.comunidad.madrid/hospital/clinicosancarlos/comunicacion</v>
      </c>
      <c r="D1052" s="130" t="s">
        <v>26</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Videoteca</v>
      </c>
      <c r="C1053" s="114" t="str" cm="1">
        <f t="array" ref="C1053">IFERROR(INDEX('03.Muestra'!$F$8:$F$42,SMALL(IF("Página Web"='03.Muestra'!$D$8:$D$42,ROW('03.Muestra'!$F$8:$F$42)-MIN(ROW('03.Muestra'!$D$8:$D$42))+1,""),ROW()-1044)),"")</f>
        <v>https://www.comunidad.madrid/hospital/clinicosancarlos/comunicacion/videoteca</v>
      </c>
      <c r="D1053" s="130" t="s">
        <v>26</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Noticias</v>
      </c>
      <c r="C1054" s="114" t="str" cm="1">
        <f t="array" ref="C1054">IFERROR(INDEX('03.Muestra'!$F$8:$F$42,SMALL(IF("Página Web"='03.Muestra'!$D$8:$D$42,ROW('03.Muestra'!$F$8:$F$42)-MIN(ROW('03.Muestra'!$D$8:$D$42))+1,""),ROW()-1044)),"")</f>
        <v>https://www.comunidad.madrid/hospital/clinicosancarlos/comunicacion/noticias</v>
      </c>
      <c r="D1054" s="130" t="s">
        <v>26</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Nosotros</v>
      </c>
      <c r="C1055" s="114" t="str" cm="1">
        <f t="array" ref="C1055">IFERROR(INDEX('03.Muestra'!$F$8:$F$42,SMALL(IF("Página Web"='03.Muestra'!$D$8:$D$42,ROW('03.Muestra'!$F$8:$F$42)-MIN(ROW('03.Muestra'!$D$8:$D$42))+1,""),ROW()-1044)),"")</f>
        <v>https://www.comunidad.madrid/hospital/clinicosancarlos/nosotros</v>
      </c>
      <c r="D1055" s="130" t="s">
        <v>26</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Gestión Ambiental</v>
      </c>
      <c r="C1056" s="114" t="str" cm="1">
        <f t="array" ref="C1056">IFERROR(INDEX('03.Muestra'!$F$8:$F$42,SMALL(IF("Página Web"='03.Muestra'!$D$8:$D$42,ROW('03.Muestra'!$F$8:$F$42)-MIN(ROW('03.Muestra'!$D$8:$D$42))+1,""),ROW()-1044)),"")</f>
        <v>https://www.comunidad.madrid/hospital/clinicosancarlos/nosotros/gestion-ambiental</v>
      </c>
      <c r="D1056" s="130" t="s">
        <v>26</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Proveedores</v>
      </c>
      <c r="C1057" s="114" t="str" cm="1">
        <f t="array" ref="C1057">IFERROR(INDEX('03.Muestra'!$F$8:$F$42,SMALL(IF("Página Web"='03.Muestra'!$D$8:$D$42,ROW('03.Muestra'!$F$8:$F$42)-MIN(ROW('03.Muestra'!$D$8:$D$42))+1,""),ROW()-1044)),"")</f>
        <v>https://www.comunidad.madrid/hospital/clinicosancarlos/nosotros/proveedores-0</v>
      </c>
      <c r="D1057" s="130" t="s">
        <v>26</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Aviso legal</v>
      </c>
      <c r="C1058" s="114" t="str" cm="1">
        <f t="array" ref="C1058">IFERROR(INDEX('03.Muestra'!$F$8:$F$42,SMALL(IF("Página Web"='03.Muestra'!$D$8:$D$42,ROW('03.Muestra'!$F$8:$F$42)-MIN(ROW('03.Muestra'!$D$8:$D$42))+1,""),ROW()-1044)),"")</f>
        <v>https://www.comunidad.madrid/hospital/clinicosancarlos/aviso-legal-privacidad</v>
      </c>
      <c r="D1058" s="130" t="s">
        <v>26</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Mapa web</v>
      </c>
      <c r="C1059" s="114" t="str" cm="1">
        <f t="array" ref="C1059">IFERROR(INDEX('03.Muestra'!$F$8:$F$42,SMALL(IF("Página Web"='03.Muestra'!$D$8:$D$42,ROW('03.Muestra'!$F$8:$F$42)-MIN(ROW('03.Muestra'!$D$8:$D$42))+1,""),ROW()-1044)),"")</f>
        <v>https://www.comunidad.madrid/hospital/clinicosancarlos/sitemap</v>
      </c>
      <c r="D1059" s="130" t="s">
        <v>26</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Accesibilidad</v>
      </c>
      <c r="C1060" s="114" t="str" cm="1">
        <f t="array" ref="C1060">IFERROR(INDEX('03.Muestra'!$F$8:$F$42,SMALL(IF("Página Web"='03.Muestra'!$D$8:$D$42,ROW('03.Muestra'!$F$8:$F$42)-MIN(ROW('03.Muestra'!$D$8:$D$42))+1,""),ROW()-1044)),"")</f>
        <v>https://www.comunidad.madrid/hospital/clinicosancarlos/declaracion-accesibilidad</v>
      </c>
      <c r="D1060" s="130" t="s">
        <v>26</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t="str" cm="1">
        <f t="array" ref="A1061">IFERROR(INDEX('03.Muestra'!$B$8:$B$42,SMALL(IF("Página Web"='03.Muestra'!$D$8:$D$42,ROW('03.Muestra'!$B$8:$B$42)-MIN(ROW('03.Muestra'!$D$8:$D$42))+1,""),ROW()-1044)),"")</f>
        <v/>
      </c>
      <c r="B1061" s="114" t="str" cm="1">
        <f t="array" ref="B1061">IFERROR(INDEX('03.Muestra'!$C$8:$C$42,SMALL(IF("Página Web"='03.Muestra'!$D$8:$D$42,ROW('03.Muestra'!$C$8:$C$42)-MIN(ROW('03.Muestra'!$D$8:$D$42))+1,""),ROW()-1044)),"")</f>
        <v/>
      </c>
      <c r="C1061" s="114" t="str" cm="1">
        <f t="array" ref="C1061">IFERROR(INDEX('03.Muestra'!$F$8:$F$42,SMALL(IF("Página Web"='03.Muestra'!$D$8:$D$42,ROW('03.Muestra'!$F$8:$F$42)-MIN(ROW('03.Muestra'!$D$8:$D$42))+1,""),ROW()-1044)),"")</f>
        <v/>
      </c>
      <c r="D1061" s="130" t="str">
        <f t="shared" ref="D1061:D1079" si="55">IF(AND(B1061&lt;&gt;"",C1061&lt;&gt;""),"N/T","")</f>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t="str" cm="1">
        <f t="array" ref="A1062">IFERROR(INDEX('03.Muestra'!$B$8:$B$42,SMALL(IF("Página Web"='03.Muestra'!$D$8:$D$42,ROW('03.Muestra'!$B$8:$B$42)-MIN(ROW('03.Muestra'!$D$8:$D$42))+1,""),ROW()-1044)),"")</f>
        <v/>
      </c>
      <c r="B1062" s="114" t="str" cm="1">
        <f t="array" ref="B1062">IFERROR(INDEX('03.Muestra'!$C$8:$C$42,SMALL(IF("Página Web"='03.Muestra'!$D$8:$D$42,ROW('03.Muestra'!$C$8:$C$42)-MIN(ROW('03.Muestra'!$D$8:$D$42))+1,""),ROW()-1044)),"")</f>
        <v/>
      </c>
      <c r="C1062" s="114" t="str" cm="1">
        <f t="array" ref="C1062">IFERROR(INDEX('03.Muestra'!$F$8:$F$42,SMALL(IF("Página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t="str" cm="1">
        <f t="array" ref="A1063">IFERROR(INDEX('03.Muestra'!$B$8:$B$42,SMALL(IF("Página Web"='03.Muestra'!$D$8:$D$42,ROW('03.Muestra'!$B$8:$B$42)-MIN(ROW('03.Muestra'!$D$8:$D$42))+1,""),ROW()-1044)),"")</f>
        <v/>
      </c>
      <c r="B1063" s="114" t="str" cm="1">
        <f t="array" ref="B1063">IFERROR(INDEX('03.Muestra'!$C$8:$C$42,SMALL(IF("Página Web"='03.Muestra'!$D$8:$D$42,ROW('03.Muestra'!$C$8:$C$42)-MIN(ROW('03.Muestra'!$D$8:$D$42))+1,""),ROW()-1044)),"")</f>
        <v/>
      </c>
      <c r="C1063" s="114" t="str" cm="1">
        <f t="array" ref="C1063">IFERROR(INDEX('03.Muestra'!$F$8:$F$42,SMALL(IF("Página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t="str" cm="1">
        <f t="array" ref="A1064">IFERROR(INDEX('03.Muestra'!$B$8:$B$42,SMALL(IF("Página Web"='03.Muestra'!$D$8:$D$42,ROW('03.Muestra'!$B$8:$B$42)-MIN(ROW('03.Muestra'!$D$8:$D$42))+1,""),ROW()-1044)),"")</f>
        <v/>
      </c>
      <c r="B1064" s="114" t="str" cm="1">
        <f t="array" ref="B1064">IFERROR(INDEX('03.Muestra'!$C$8:$C$42,SMALL(IF("Página Web"='03.Muestra'!$D$8:$D$42,ROW('03.Muestra'!$C$8:$C$42)-MIN(ROW('03.Muestra'!$D$8:$D$42))+1,""),ROW()-1044)),"")</f>
        <v/>
      </c>
      <c r="C1064" s="114" t="str" cm="1">
        <f t="array" ref="C1064">IFERROR(INDEX('03.Muestra'!$F$8:$F$42,SMALL(IF("Página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268</v>
      </c>
      <c r="B1082" s="24" t="s">
        <v>90</v>
      </c>
      <c r="C1082" s="25" t="s">
        <v>401</v>
      </c>
      <c r="D1082" s="26" t="s">
        <v>32</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https://www.comunidad.madrid/hospital/clinicosancarlos/</v>
      </c>
      <c r="D1083" s="130" t="s">
        <v>28</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Ciudadanos</v>
      </c>
      <c r="C1084" s="114" t="str" cm="1">
        <f t="array" ref="C1084">IFERROR(INDEX('03.Muestra'!$F$8:$F$42,SMALL(IF("Página Web"='03.Muestra'!$D$8:$D$42,ROW('03.Muestra'!$F$8:$F$42)-MIN(ROW('03.Muestra'!$D$8:$D$42))+1,""),ROW()-1082)),"")</f>
        <v>https://www.comunidad.madrid/hospital/clinicosancarlos/ciudadanos</v>
      </c>
      <c r="D1084" s="130" t="s">
        <v>26</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2</v>
      </c>
      <c r="J1084" s="120">
        <f ca="1">COUNTIF($D1083:INDIRECT("$D" &amp;  SUM(ROW()-1,'03.Muestra'!$D$45)-1),J1083)</f>
        <v>14</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Consultas externas</v>
      </c>
      <c r="C1085" s="114" t="str" cm="1">
        <f t="array" ref="C1085">IFERROR(INDEX('03.Muestra'!$F$8:$F$42,SMALL(IF("Página Web"='03.Muestra'!$D$8:$D$42,ROW('03.Muestra'!$F$8:$F$42)-MIN(ROW('03.Muestra'!$D$8:$D$42))+1,""),ROW()-1082)),"")</f>
        <v>https://www.comunidad.madrid/hospital/clinicosancarlos/ciudadanos/consultas-externas</v>
      </c>
      <c r="D1085" s="130" t="s">
        <v>26</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Donación</v>
      </c>
      <c r="C1086" s="114" t="str" cm="1">
        <f t="array" ref="C1086">IFERROR(INDEX('03.Muestra'!$F$8:$F$42,SMALL(IF("Página Web"='03.Muestra'!$D$8:$D$42,ROW('03.Muestra'!$F$8:$F$42)-MIN(ROW('03.Muestra'!$D$8:$D$42))+1,""),ROW()-1082)),"")</f>
        <v>https://www.comunidad.madrid/hospital/clinicosancarlos/ciudadanos/donacion-0</v>
      </c>
      <c r="D1086" s="130" t="s">
        <v>26</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Profesionales</v>
      </c>
      <c r="C1087" s="114" t="str" cm="1">
        <f t="array" ref="C1087">IFERROR(INDEX('03.Muestra'!$F$8:$F$42,SMALL(IF("Página Web"='03.Muestra'!$D$8:$D$42,ROW('03.Muestra'!$F$8:$F$42)-MIN(ROW('03.Muestra'!$D$8:$D$42))+1,""),ROW()-1082)),"")</f>
        <v>https://www.comunidad.madrid/hospital/clinicosancarlos/profesionales</v>
      </c>
      <c r="D1087" s="130" t="s">
        <v>26</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Docencia</v>
      </c>
      <c r="C1088" s="114" t="str" cm="1">
        <f t="array" ref="C1088">IFERROR(INDEX('03.Muestra'!$F$8:$F$42,SMALL(IF("Página Web"='03.Muestra'!$D$8:$D$42,ROW('03.Muestra'!$F$8:$F$42)-MIN(ROW('03.Muestra'!$D$8:$D$42))+1,""),ROW()-1082)),"")</f>
        <v>https://www.comunidad.madrid/hospital/clinicosancarlos/profesionales/docencia</v>
      </c>
      <c r="D1088" s="130" t="s">
        <v>26</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Referencia</v>
      </c>
      <c r="C1089" s="114" t="str" cm="1">
        <f t="array" ref="C1089">IFERROR(INDEX('03.Muestra'!$F$8:$F$42,SMALL(IF("Página Web"='03.Muestra'!$D$8:$D$42,ROW('03.Muestra'!$F$8:$F$42)-MIN(ROW('03.Muestra'!$D$8:$D$42))+1,""),ROW()-1082)),"")</f>
        <v>https://www.comunidad.madrid/hospital/clinicosancarlos/profesionales/unidades-referencia-nacional-redes-europeas</v>
      </c>
      <c r="D1089" s="130" t="s">
        <v>26</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Comunicación</v>
      </c>
      <c r="C1090" s="114" t="str" cm="1">
        <f t="array" ref="C1090">IFERROR(INDEX('03.Muestra'!$F$8:$F$42,SMALL(IF("Página Web"='03.Muestra'!$D$8:$D$42,ROW('03.Muestra'!$F$8:$F$42)-MIN(ROW('03.Muestra'!$D$8:$D$42))+1,""),ROW()-1082)),"")</f>
        <v>https://www.comunidad.madrid/hospital/clinicosancarlos/comunicacion</v>
      </c>
      <c r="D1090" s="130" t="s">
        <v>28</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Videoteca</v>
      </c>
      <c r="C1091" s="114" t="str" cm="1">
        <f t="array" ref="C1091">IFERROR(INDEX('03.Muestra'!$F$8:$F$42,SMALL(IF("Página Web"='03.Muestra'!$D$8:$D$42,ROW('03.Muestra'!$F$8:$F$42)-MIN(ROW('03.Muestra'!$D$8:$D$42))+1,""),ROW()-1082)),"")</f>
        <v>https://www.comunidad.madrid/hospital/clinicosancarlos/comunicacion/videoteca</v>
      </c>
      <c r="D1091" s="130" t="s">
        <v>26</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Noticias</v>
      </c>
      <c r="C1092" s="114" t="str" cm="1">
        <f t="array" ref="C1092">IFERROR(INDEX('03.Muestra'!$F$8:$F$42,SMALL(IF("Página Web"='03.Muestra'!$D$8:$D$42,ROW('03.Muestra'!$F$8:$F$42)-MIN(ROW('03.Muestra'!$D$8:$D$42))+1,""),ROW()-1082)),"")</f>
        <v>https://www.comunidad.madrid/hospital/clinicosancarlos/comunicacion/noticias</v>
      </c>
      <c r="D1092" s="130" t="s">
        <v>26</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Nosotros</v>
      </c>
      <c r="C1093" s="114" t="str" cm="1">
        <f t="array" ref="C1093">IFERROR(INDEX('03.Muestra'!$F$8:$F$42,SMALL(IF("Página Web"='03.Muestra'!$D$8:$D$42,ROW('03.Muestra'!$F$8:$F$42)-MIN(ROW('03.Muestra'!$D$8:$D$42))+1,""),ROW()-1082)),"")</f>
        <v>https://www.comunidad.madrid/hospital/clinicosancarlos/nosotros</v>
      </c>
      <c r="D1093" s="130" t="s">
        <v>26</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Gestión Ambiental</v>
      </c>
      <c r="C1094" s="114" t="str" cm="1">
        <f t="array" ref="C1094">IFERROR(INDEX('03.Muestra'!$F$8:$F$42,SMALL(IF("Página Web"='03.Muestra'!$D$8:$D$42,ROW('03.Muestra'!$F$8:$F$42)-MIN(ROW('03.Muestra'!$D$8:$D$42))+1,""),ROW()-1082)),"")</f>
        <v>https://www.comunidad.madrid/hospital/clinicosancarlos/nosotros/gestion-ambiental</v>
      </c>
      <c r="D1094" s="130" t="s">
        <v>26</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Proveedores</v>
      </c>
      <c r="C1095" s="114" t="str" cm="1">
        <f t="array" ref="C1095">IFERROR(INDEX('03.Muestra'!$F$8:$F$42,SMALL(IF("Página Web"='03.Muestra'!$D$8:$D$42,ROW('03.Muestra'!$F$8:$F$42)-MIN(ROW('03.Muestra'!$D$8:$D$42))+1,""),ROW()-1082)),"")</f>
        <v>https://www.comunidad.madrid/hospital/clinicosancarlos/nosotros/proveedores-0</v>
      </c>
      <c r="D1095" s="130" t="s">
        <v>26</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Aviso legal</v>
      </c>
      <c r="C1096" s="114" t="str" cm="1">
        <f t="array" ref="C1096">IFERROR(INDEX('03.Muestra'!$F$8:$F$42,SMALL(IF("Página Web"='03.Muestra'!$D$8:$D$42,ROW('03.Muestra'!$F$8:$F$42)-MIN(ROW('03.Muestra'!$D$8:$D$42))+1,""),ROW()-1082)),"")</f>
        <v>https://www.comunidad.madrid/hospital/clinicosancarlos/aviso-legal-privacidad</v>
      </c>
      <c r="D1096" s="130" t="s">
        <v>26</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Mapa web</v>
      </c>
      <c r="C1097" s="114" t="str" cm="1">
        <f t="array" ref="C1097">IFERROR(INDEX('03.Muestra'!$F$8:$F$42,SMALL(IF("Página Web"='03.Muestra'!$D$8:$D$42,ROW('03.Muestra'!$F$8:$F$42)-MIN(ROW('03.Muestra'!$D$8:$D$42))+1,""),ROW()-1082)),"")</f>
        <v>https://www.comunidad.madrid/hospital/clinicosancarlos/sitemap</v>
      </c>
      <c r="D1097" s="130" t="s">
        <v>26</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Accesibilidad</v>
      </c>
      <c r="C1098" s="114" t="str" cm="1">
        <f t="array" ref="C1098">IFERROR(INDEX('03.Muestra'!$F$8:$F$42,SMALL(IF("Página Web"='03.Muestra'!$D$8:$D$42,ROW('03.Muestra'!$F$8:$F$42)-MIN(ROW('03.Muestra'!$D$8:$D$42))+1,""),ROW()-1082)),"")</f>
        <v>https://www.comunidad.madrid/hospital/clinicosancarlos/declaracion-accesibilidad</v>
      </c>
      <c r="D1098" s="130" t="s">
        <v>26</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t="str" cm="1">
        <f t="array" ref="A1099">IFERROR(INDEX('03.Muestra'!$B$8:$B$42,SMALL(IF("Página Web"='03.Muestra'!$D$8:$D$42,ROW('03.Muestra'!$B$8:$B$42)-MIN(ROW('03.Muestra'!$D$8:$D$42))+1,""),ROW()-1082)),"")</f>
        <v/>
      </c>
      <c r="B1099" s="114" t="str" cm="1">
        <f t="array" ref="B1099">IFERROR(INDEX('03.Muestra'!$C$8:$C$42,SMALL(IF("Página Web"='03.Muestra'!$D$8:$D$42,ROW('03.Muestra'!$C$8:$C$42)-MIN(ROW('03.Muestra'!$D$8:$D$42))+1,""),ROW()-1082)),"")</f>
        <v/>
      </c>
      <c r="C1099" s="114" t="str" cm="1">
        <f t="array" ref="C1099">IFERROR(INDEX('03.Muestra'!$F$8:$F$42,SMALL(IF("Página Web"='03.Muestra'!$D$8:$D$42,ROW('03.Muestra'!$F$8:$F$42)-MIN(ROW('03.Muestra'!$D$8:$D$42))+1,""),ROW()-1082)),"")</f>
        <v/>
      </c>
      <c r="D1099" s="130" t="str">
        <f t="shared" ref="D1099:D1117" si="57">IF(AND(B1099&lt;&gt;"",C1099&lt;&gt;""),"N/T","")</f>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t="str" cm="1">
        <f t="array" ref="A1100">IFERROR(INDEX('03.Muestra'!$B$8:$B$42,SMALL(IF("Página Web"='03.Muestra'!$D$8:$D$42,ROW('03.Muestra'!$B$8:$B$42)-MIN(ROW('03.Muestra'!$D$8:$D$42))+1,""),ROW()-1082)),"")</f>
        <v/>
      </c>
      <c r="B1100" s="114" t="str" cm="1">
        <f t="array" ref="B1100">IFERROR(INDEX('03.Muestra'!$C$8:$C$42,SMALL(IF("Página Web"='03.Muestra'!$D$8:$D$42,ROW('03.Muestra'!$C$8:$C$42)-MIN(ROW('03.Muestra'!$D$8:$D$42))+1,""),ROW()-1082)),"")</f>
        <v/>
      </c>
      <c r="C1100" s="114" t="str" cm="1">
        <f t="array" ref="C1100">IFERROR(INDEX('03.Muestra'!$F$8:$F$42,SMALL(IF("Página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t="str" cm="1">
        <f t="array" ref="A1101">IFERROR(INDEX('03.Muestra'!$B$8:$B$42,SMALL(IF("Página Web"='03.Muestra'!$D$8:$D$42,ROW('03.Muestra'!$B$8:$B$42)-MIN(ROW('03.Muestra'!$D$8:$D$42))+1,""),ROW()-1082)),"")</f>
        <v/>
      </c>
      <c r="B1101" s="114" t="str" cm="1">
        <f t="array" ref="B1101">IFERROR(INDEX('03.Muestra'!$C$8:$C$42,SMALL(IF("Página Web"='03.Muestra'!$D$8:$D$42,ROW('03.Muestra'!$C$8:$C$42)-MIN(ROW('03.Muestra'!$D$8:$D$42))+1,""),ROW()-1082)),"")</f>
        <v/>
      </c>
      <c r="C1101" s="114" t="str" cm="1">
        <f t="array" ref="C1101">IFERROR(INDEX('03.Muestra'!$F$8:$F$42,SMALL(IF("Página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t="str" cm="1">
        <f t="array" ref="A1102">IFERROR(INDEX('03.Muestra'!$B$8:$B$42,SMALL(IF("Página Web"='03.Muestra'!$D$8:$D$42,ROW('03.Muestra'!$B$8:$B$42)-MIN(ROW('03.Muestra'!$D$8:$D$42))+1,""),ROW()-1082)),"")</f>
        <v/>
      </c>
      <c r="B1102" s="114" t="str" cm="1">
        <f t="array" ref="B1102">IFERROR(INDEX('03.Muestra'!$C$8:$C$42,SMALL(IF("Página Web"='03.Muestra'!$D$8:$D$42,ROW('03.Muestra'!$C$8:$C$42)-MIN(ROW('03.Muestra'!$D$8:$D$42))+1,""),ROW()-1082)),"")</f>
        <v/>
      </c>
      <c r="C1102" s="114" t="str" cm="1">
        <f t="array" ref="C1102">IFERROR(INDEX('03.Muestra'!$F$8:$F$42,SMALL(IF("Página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268</v>
      </c>
      <c r="B1120" s="24" t="s">
        <v>90</v>
      </c>
      <c r="C1120" s="25" t="s">
        <v>402</v>
      </c>
      <c r="D1120" s="26" t="s">
        <v>32</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https://www.comunidad.madrid/hospital/clinicosancarlos/</v>
      </c>
      <c r="D1121" s="130" t="s">
        <v>26</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Ciudadanos</v>
      </c>
      <c r="C1122" s="114" t="str" cm="1">
        <f t="array" ref="C1122">IFERROR(INDEX('03.Muestra'!$F$8:$F$42,SMALL(IF("Página Web"='03.Muestra'!$D$8:$D$42,ROW('03.Muestra'!$F$8:$F$42)-MIN(ROW('03.Muestra'!$D$8:$D$42))+1,""),ROW()-1120)),"")</f>
        <v>https://www.comunidad.madrid/hospital/clinicosancarlos/ciudadanos</v>
      </c>
      <c r="D1122" s="130" t="s">
        <v>26</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16</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Consultas externas</v>
      </c>
      <c r="C1123" s="114" t="str" cm="1">
        <f t="array" ref="C1123">IFERROR(INDEX('03.Muestra'!$F$8:$F$42,SMALL(IF("Página Web"='03.Muestra'!$D$8:$D$42,ROW('03.Muestra'!$F$8:$F$42)-MIN(ROW('03.Muestra'!$D$8:$D$42))+1,""),ROW()-1120)),"")</f>
        <v>https://www.comunidad.madrid/hospital/clinicosancarlos/ciudadanos/consultas-externas</v>
      </c>
      <c r="D1123" s="130" t="s">
        <v>26</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Donación</v>
      </c>
      <c r="C1124" s="114" t="str" cm="1">
        <f t="array" ref="C1124">IFERROR(INDEX('03.Muestra'!$F$8:$F$42,SMALL(IF("Página Web"='03.Muestra'!$D$8:$D$42,ROW('03.Muestra'!$F$8:$F$42)-MIN(ROW('03.Muestra'!$D$8:$D$42))+1,""),ROW()-1120)),"")</f>
        <v>https://www.comunidad.madrid/hospital/clinicosancarlos/ciudadanos/donacion-0</v>
      </c>
      <c r="D1124" s="130" t="s">
        <v>26</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Profesionales</v>
      </c>
      <c r="C1125" s="114" t="str" cm="1">
        <f t="array" ref="C1125">IFERROR(INDEX('03.Muestra'!$F$8:$F$42,SMALL(IF("Página Web"='03.Muestra'!$D$8:$D$42,ROW('03.Muestra'!$F$8:$F$42)-MIN(ROW('03.Muestra'!$D$8:$D$42))+1,""),ROW()-1120)),"")</f>
        <v>https://www.comunidad.madrid/hospital/clinicosancarlos/profesionales</v>
      </c>
      <c r="D1125" s="130" t="s">
        <v>26</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Docencia</v>
      </c>
      <c r="C1126" s="114" t="str" cm="1">
        <f t="array" ref="C1126">IFERROR(INDEX('03.Muestra'!$F$8:$F$42,SMALL(IF("Página Web"='03.Muestra'!$D$8:$D$42,ROW('03.Muestra'!$F$8:$F$42)-MIN(ROW('03.Muestra'!$D$8:$D$42))+1,""),ROW()-1120)),"")</f>
        <v>https://www.comunidad.madrid/hospital/clinicosancarlos/profesionales/docencia</v>
      </c>
      <c r="D1126" s="130" t="s">
        <v>26</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Referencia</v>
      </c>
      <c r="C1127" s="114" t="str" cm="1">
        <f t="array" ref="C1127">IFERROR(INDEX('03.Muestra'!$F$8:$F$42,SMALL(IF("Página Web"='03.Muestra'!$D$8:$D$42,ROW('03.Muestra'!$F$8:$F$42)-MIN(ROW('03.Muestra'!$D$8:$D$42))+1,""),ROW()-1120)),"")</f>
        <v>https://www.comunidad.madrid/hospital/clinicosancarlos/profesionales/unidades-referencia-nacional-redes-europeas</v>
      </c>
      <c r="D1127" s="130" t="s">
        <v>26</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Comunicación</v>
      </c>
      <c r="C1128" s="114" t="str" cm="1">
        <f t="array" ref="C1128">IFERROR(INDEX('03.Muestra'!$F$8:$F$42,SMALL(IF("Página Web"='03.Muestra'!$D$8:$D$42,ROW('03.Muestra'!$F$8:$F$42)-MIN(ROW('03.Muestra'!$D$8:$D$42))+1,""),ROW()-1120)),"")</f>
        <v>https://www.comunidad.madrid/hospital/clinicosancarlos/comunicacion</v>
      </c>
      <c r="D1128" s="130" t="s">
        <v>26</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Videoteca</v>
      </c>
      <c r="C1129" s="114" t="str" cm="1">
        <f t="array" ref="C1129">IFERROR(INDEX('03.Muestra'!$F$8:$F$42,SMALL(IF("Página Web"='03.Muestra'!$D$8:$D$42,ROW('03.Muestra'!$F$8:$F$42)-MIN(ROW('03.Muestra'!$D$8:$D$42))+1,""),ROW()-1120)),"")</f>
        <v>https://www.comunidad.madrid/hospital/clinicosancarlos/comunicacion/videoteca</v>
      </c>
      <c r="D1129" s="130" t="s">
        <v>26</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Noticias</v>
      </c>
      <c r="C1130" s="114" t="str" cm="1">
        <f t="array" ref="C1130">IFERROR(INDEX('03.Muestra'!$F$8:$F$42,SMALL(IF("Página Web"='03.Muestra'!$D$8:$D$42,ROW('03.Muestra'!$F$8:$F$42)-MIN(ROW('03.Muestra'!$D$8:$D$42))+1,""),ROW()-1120)),"")</f>
        <v>https://www.comunidad.madrid/hospital/clinicosancarlos/comunicacion/noticias</v>
      </c>
      <c r="D1130" s="130" t="s">
        <v>26</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Nosotros</v>
      </c>
      <c r="C1131" s="114" t="str" cm="1">
        <f t="array" ref="C1131">IFERROR(INDEX('03.Muestra'!$F$8:$F$42,SMALL(IF("Página Web"='03.Muestra'!$D$8:$D$42,ROW('03.Muestra'!$F$8:$F$42)-MIN(ROW('03.Muestra'!$D$8:$D$42))+1,""),ROW()-1120)),"")</f>
        <v>https://www.comunidad.madrid/hospital/clinicosancarlos/nosotros</v>
      </c>
      <c r="D1131" s="130" t="s">
        <v>26</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Gestión Ambiental</v>
      </c>
      <c r="C1132" s="114" t="str" cm="1">
        <f t="array" ref="C1132">IFERROR(INDEX('03.Muestra'!$F$8:$F$42,SMALL(IF("Página Web"='03.Muestra'!$D$8:$D$42,ROW('03.Muestra'!$F$8:$F$42)-MIN(ROW('03.Muestra'!$D$8:$D$42))+1,""),ROW()-1120)),"")</f>
        <v>https://www.comunidad.madrid/hospital/clinicosancarlos/nosotros/gestion-ambiental</v>
      </c>
      <c r="D1132" s="130" t="s">
        <v>26</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Proveedores</v>
      </c>
      <c r="C1133" s="114" t="str" cm="1">
        <f t="array" ref="C1133">IFERROR(INDEX('03.Muestra'!$F$8:$F$42,SMALL(IF("Página Web"='03.Muestra'!$D$8:$D$42,ROW('03.Muestra'!$F$8:$F$42)-MIN(ROW('03.Muestra'!$D$8:$D$42))+1,""),ROW()-1120)),"")</f>
        <v>https://www.comunidad.madrid/hospital/clinicosancarlos/nosotros/proveedores-0</v>
      </c>
      <c r="D1133" s="130" t="s">
        <v>26</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Aviso legal</v>
      </c>
      <c r="C1134" s="114" t="str" cm="1">
        <f t="array" ref="C1134">IFERROR(INDEX('03.Muestra'!$F$8:$F$42,SMALL(IF("Página Web"='03.Muestra'!$D$8:$D$42,ROW('03.Muestra'!$F$8:$F$42)-MIN(ROW('03.Muestra'!$D$8:$D$42))+1,""),ROW()-1120)),"")</f>
        <v>https://www.comunidad.madrid/hospital/clinicosancarlos/aviso-legal-privacidad</v>
      </c>
      <c r="D1134" s="130" t="s">
        <v>26</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Mapa web</v>
      </c>
      <c r="C1135" s="114" t="str" cm="1">
        <f t="array" ref="C1135">IFERROR(INDEX('03.Muestra'!$F$8:$F$42,SMALL(IF("Página Web"='03.Muestra'!$D$8:$D$42,ROW('03.Muestra'!$F$8:$F$42)-MIN(ROW('03.Muestra'!$D$8:$D$42))+1,""),ROW()-1120)),"")</f>
        <v>https://www.comunidad.madrid/hospital/clinicosancarlos/sitemap</v>
      </c>
      <c r="D1135" s="130" t="s">
        <v>26</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Accesibilidad</v>
      </c>
      <c r="C1136" s="114" t="str" cm="1">
        <f t="array" ref="C1136">IFERROR(INDEX('03.Muestra'!$F$8:$F$42,SMALL(IF("Página Web"='03.Muestra'!$D$8:$D$42,ROW('03.Muestra'!$F$8:$F$42)-MIN(ROW('03.Muestra'!$D$8:$D$42))+1,""),ROW()-1120)),"")</f>
        <v>https://www.comunidad.madrid/hospital/clinicosancarlos/declaracion-accesibilidad</v>
      </c>
      <c r="D1136" s="130" t="s">
        <v>26</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t="str" cm="1">
        <f t="array" ref="A1137">IFERROR(INDEX('03.Muestra'!$B$8:$B$42,SMALL(IF("Página Web"='03.Muestra'!$D$8:$D$42,ROW('03.Muestra'!$B$8:$B$42)-MIN(ROW('03.Muestra'!$D$8:$D$42))+1,""),ROW()-1120)),"")</f>
        <v/>
      </c>
      <c r="B1137" s="114" t="str" cm="1">
        <f t="array" ref="B1137">IFERROR(INDEX('03.Muestra'!$C$8:$C$42,SMALL(IF("Página Web"='03.Muestra'!$D$8:$D$42,ROW('03.Muestra'!$C$8:$C$42)-MIN(ROW('03.Muestra'!$D$8:$D$42))+1,""),ROW()-1120)),"")</f>
        <v/>
      </c>
      <c r="C1137" s="114" t="str" cm="1">
        <f t="array" ref="C1137">IFERROR(INDEX('03.Muestra'!$F$8:$F$42,SMALL(IF("Página Web"='03.Muestra'!$D$8:$D$42,ROW('03.Muestra'!$F$8:$F$42)-MIN(ROW('03.Muestra'!$D$8:$D$42))+1,""),ROW()-1120)),"")</f>
        <v/>
      </c>
      <c r="D1137" s="130" t="str">
        <f t="shared" ref="D1137:D1155" si="59">IF(AND(B1137&lt;&gt;"",C1137&lt;&gt;""),"N/T","")</f>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t="str" cm="1">
        <f t="array" ref="A1138">IFERROR(INDEX('03.Muestra'!$B$8:$B$42,SMALL(IF("Página Web"='03.Muestra'!$D$8:$D$42,ROW('03.Muestra'!$B$8:$B$42)-MIN(ROW('03.Muestra'!$D$8:$D$42))+1,""),ROW()-1120)),"")</f>
        <v/>
      </c>
      <c r="B1138" s="114" t="str" cm="1">
        <f t="array" ref="B1138">IFERROR(INDEX('03.Muestra'!$C$8:$C$42,SMALL(IF("Página Web"='03.Muestra'!$D$8:$D$42,ROW('03.Muestra'!$C$8:$C$42)-MIN(ROW('03.Muestra'!$D$8:$D$42))+1,""),ROW()-1120)),"")</f>
        <v/>
      </c>
      <c r="C1138" s="114" t="str" cm="1">
        <f t="array" ref="C1138">IFERROR(INDEX('03.Muestra'!$F$8:$F$42,SMALL(IF("Página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t="str" cm="1">
        <f t="array" ref="A1139">IFERROR(INDEX('03.Muestra'!$B$8:$B$42,SMALL(IF("Página Web"='03.Muestra'!$D$8:$D$42,ROW('03.Muestra'!$B$8:$B$42)-MIN(ROW('03.Muestra'!$D$8:$D$42))+1,""),ROW()-1120)),"")</f>
        <v/>
      </c>
      <c r="B1139" s="114" t="str" cm="1">
        <f t="array" ref="B1139">IFERROR(INDEX('03.Muestra'!$C$8:$C$42,SMALL(IF("Página Web"='03.Muestra'!$D$8:$D$42,ROW('03.Muestra'!$C$8:$C$42)-MIN(ROW('03.Muestra'!$D$8:$D$42))+1,""),ROW()-1120)),"")</f>
        <v/>
      </c>
      <c r="C1139" s="114" t="str" cm="1">
        <f t="array" ref="C1139">IFERROR(INDEX('03.Muestra'!$F$8:$F$42,SMALL(IF("Página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t="str" cm="1">
        <f t="array" ref="A1140">IFERROR(INDEX('03.Muestra'!$B$8:$B$42,SMALL(IF("Página Web"='03.Muestra'!$D$8:$D$42,ROW('03.Muestra'!$B$8:$B$42)-MIN(ROW('03.Muestra'!$D$8:$D$42))+1,""),ROW()-1120)),"")</f>
        <v/>
      </c>
      <c r="B1140" s="114" t="str" cm="1">
        <f t="array" ref="B1140">IFERROR(INDEX('03.Muestra'!$C$8:$C$42,SMALL(IF("Página Web"='03.Muestra'!$D$8:$D$42,ROW('03.Muestra'!$C$8:$C$42)-MIN(ROW('03.Muestra'!$D$8:$D$42))+1,""),ROW()-1120)),"")</f>
        <v/>
      </c>
      <c r="C1140" s="114" t="str" cm="1">
        <f t="array" ref="C1140">IFERROR(INDEX('03.Muestra'!$F$8:$F$42,SMALL(IF("Página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268</v>
      </c>
      <c r="B1158" s="24" t="s">
        <v>90</v>
      </c>
      <c r="C1158" s="25" t="s">
        <v>403</v>
      </c>
      <c r="D1158" s="26" t="s">
        <v>32</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https://www.comunidad.madrid/hospital/clinicosancarlos/</v>
      </c>
      <c r="D1159" s="130" t="s">
        <v>26</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Ciudadanos</v>
      </c>
      <c r="C1160" s="114" t="str" cm="1">
        <f t="array" ref="C1160">IFERROR(INDEX('03.Muestra'!$F$8:$F$42,SMALL(IF("Página Web"='03.Muestra'!$D$8:$D$42,ROW('03.Muestra'!$F$8:$F$42)-MIN(ROW('03.Muestra'!$D$8:$D$42))+1,""),ROW()-1158)),"")</f>
        <v>https://www.comunidad.madrid/hospital/clinicosancarlos/ciudadanos</v>
      </c>
      <c r="D1160" s="130" t="s">
        <v>26</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16</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Consultas externas</v>
      </c>
      <c r="C1161" s="114" t="str" cm="1">
        <f t="array" ref="C1161">IFERROR(INDEX('03.Muestra'!$F$8:$F$42,SMALL(IF("Página Web"='03.Muestra'!$D$8:$D$42,ROW('03.Muestra'!$F$8:$F$42)-MIN(ROW('03.Muestra'!$D$8:$D$42))+1,""),ROW()-1158)),"")</f>
        <v>https://www.comunidad.madrid/hospital/clinicosancarlos/ciudadanos/consultas-externas</v>
      </c>
      <c r="D1161" s="130" t="s">
        <v>26</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Donación</v>
      </c>
      <c r="C1162" s="114" t="str" cm="1">
        <f t="array" ref="C1162">IFERROR(INDEX('03.Muestra'!$F$8:$F$42,SMALL(IF("Página Web"='03.Muestra'!$D$8:$D$42,ROW('03.Muestra'!$F$8:$F$42)-MIN(ROW('03.Muestra'!$D$8:$D$42))+1,""),ROW()-1158)),"")</f>
        <v>https://www.comunidad.madrid/hospital/clinicosancarlos/ciudadanos/donacion-0</v>
      </c>
      <c r="D1162" s="130" t="s">
        <v>26</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Profesionales</v>
      </c>
      <c r="C1163" s="114" t="str" cm="1">
        <f t="array" ref="C1163">IFERROR(INDEX('03.Muestra'!$F$8:$F$42,SMALL(IF("Página Web"='03.Muestra'!$D$8:$D$42,ROW('03.Muestra'!$F$8:$F$42)-MIN(ROW('03.Muestra'!$D$8:$D$42))+1,""),ROW()-1158)),"")</f>
        <v>https://www.comunidad.madrid/hospital/clinicosancarlos/profesionales</v>
      </c>
      <c r="D1163" s="130" t="s">
        <v>26</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Docencia</v>
      </c>
      <c r="C1164" s="114" t="str" cm="1">
        <f t="array" ref="C1164">IFERROR(INDEX('03.Muestra'!$F$8:$F$42,SMALL(IF("Página Web"='03.Muestra'!$D$8:$D$42,ROW('03.Muestra'!$F$8:$F$42)-MIN(ROW('03.Muestra'!$D$8:$D$42))+1,""),ROW()-1158)),"")</f>
        <v>https://www.comunidad.madrid/hospital/clinicosancarlos/profesionales/docencia</v>
      </c>
      <c r="D1164" s="130" t="s">
        <v>26</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Referencia</v>
      </c>
      <c r="C1165" s="114" t="str" cm="1">
        <f t="array" ref="C1165">IFERROR(INDEX('03.Muestra'!$F$8:$F$42,SMALL(IF("Página Web"='03.Muestra'!$D$8:$D$42,ROW('03.Muestra'!$F$8:$F$42)-MIN(ROW('03.Muestra'!$D$8:$D$42))+1,""),ROW()-1158)),"")</f>
        <v>https://www.comunidad.madrid/hospital/clinicosancarlos/profesionales/unidades-referencia-nacional-redes-europeas</v>
      </c>
      <c r="D1165" s="130" t="s">
        <v>26</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Comunicación</v>
      </c>
      <c r="C1166" s="114" t="str" cm="1">
        <f t="array" ref="C1166">IFERROR(INDEX('03.Muestra'!$F$8:$F$42,SMALL(IF("Página Web"='03.Muestra'!$D$8:$D$42,ROW('03.Muestra'!$F$8:$F$42)-MIN(ROW('03.Muestra'!$D$8:$D$42))+1,""),ROW()-1158)),"")</f>
        <v>https://www.comunidad.madrid/hospital/clinicosancarlos/comunicacion</v>
      </c>
      <c r="D1166" s="130" t="s">
        <v>26</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Videoteca</v>
      </c>
      <c r="C1167" s="114" t="str" cm="1">
        <f t="array" ref="C1167">IFERROR(INDEX('03.Muestra'!$F$8:$F$42,SMALL(IF("Página Web"='03.Muestra'!$D$8:$D$42,ROW('03.Muestra'!$F$8:$F$42)-MIN(ROW('03.Muestra'!$D$8:$D$42))+1,""),ROW()-1158)),"")</f>
        <v>https://www.comunidad.madrid/hospital/clinicosancarlos/comunicacion/videoteca</v>
      </c>
      <c r="D1167" s="130" t="s">
        <v>26</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Noticias</v>
      </c>
      <c r="C1168" s="114" t="str" cm="1">
        <f t="array" ref="C1168">IFERROR(INDEX('03.Muestra'!$F$8:$F$42,SMALL(IF("Página Web"='03.Muestra'!$D$8:$D$42,ROW('03.Muestra'!$F$8:$F$42)-MIN(ROW('03.Muestra'!$D$8:$D$42))+1,""),ROW()-1158)),"")</f>
        <v>https://www.comunidad.madrid/hospital/clinicosancarlos/comunicacion/noticias</v>
      </c>
      <c r="D1168" s="130" t="s">
        <v>26</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Nosotros</v>
      </c>
      <c r="C1169" s="114" t="str" cm="1">
        <f t="array" ref="C1169">IFERROR(INDEX('03.Muestra'!$F$8:$F$42,SMALL(IF("Página Web"='03.Muestra'!$D$8:$D$42,ROW('03.Muestra'!$F$8:$F$42)-MIN(ROW('03.Muestra'!$D$8:$D$42))+1,""),ROW()-1158)),"")</f>
        <v>https://www.comunidad.madrid/hospital/clinicosancarlos/nosotros</v>
      </c>
      <c r="D1169" s="130" t="s">
        <v>26</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Gestión Ambiental</v>
      </c>
      <c r="C1170" s="114" t="str" cm="1">
        <f t="array" ref="C1170">IFERROR(INDEX('03.Muestra'!$F$8:$F$42,SMALL(IF("Página Web"='03.Muestra'!$D$8:$D$42,ROW('03.Muestra'!$F$8:$F$42)-MIN(ROW('03.Muestra'!$D$8:$D$42))+1,""),ROW()-1158)),"")</f>
        <v>https://www.comunidad.madrid/hospital/clinicosancarlos/nosotros/gestion-ambiental</v>
      </c>
      <c r="D1170" s="130" t="s">
        <v>26</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Proveedores</v>
      </c>
      <c r="C1171" s="114" t="str" cm="1">
        <f t="array" ref="C1171">IFERROR(INDEX('03.Muestra'!$F$8:$F$42,SMALL(IF("Página Web"='03.Muestra'!$D$8:$D$42,ROW('03.Muestra'!$F$8:$F$42)-MIN(ROW('03.Muestra'!$D$8:$D$42))+1,""),ROW()-1158)),"")</f>
        <v>https://www.comunidad.madrid/hospital/clinicosancarlos/nosotros/proveedores-0</v>
      </c>
      <c r="D1171" s="130" t="s">
        <v>26</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Aviso legal</v>
      </c>
      <c r="C1172" s="114" t="str" cm="1">
        <f t="array" ref="C1172">IFERROR(INDEX('03.Muestra'!$F$8:$F$42,SMALL(IF("Página Web"='03.Muestra'!$D$8:$D$42,ROW('03.Muestra'!$F$8:$F$42)-MIN(ROW('03.Muestra'!$D$8:$D$42))+1,""),ROW()-1158)),"")</f>
        <v>https://www.comunidad.madrid/hospital/clinicosancarlos/aviso-legal-privacidad</v>
      </c>
      <c r="D1172" s="130" t="s">
        <v>26</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Mapa web</v>
      </c>
      <c r="C1173" s="114" t="str" cm="1">
        <f t="array" ref="C1173">IFERROR(INDEX('03.Muestra'!$F$8:$F$42,SMALL(IF("Página Web"='03.Muestra'!$D$8:$D$42,ROW('03.Muestra'!$F$8:$F$42)-MIN(ROW('03.Muestra'!$D$8:$D$42))+1,""),ROW()-1158)),"")</f>
        <v>https://www.comunidad.madrid/hospital/clinicosancarlos/sitemap</v>
      </c>
      <c r="D1173" s="130" t="s">
        <v>26</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Accesibilidad</v>
      </c>
      <c r="C1174" s="114" t="str" cm="1">
        <f t="array" ref="C1174">IFERROR(INDEX('03.Muestra'!$F$8:$F$42,SMALL(IF("Página Web"='03.Muestra'!$D$8:$D$42,ROW('03.Muestra'!$F$8:$F$42)-MIN(ROW('03.Muestra'!$D$8:$D$42))+1,""),ROW()-1158)),"")</f>
        <v>https://www.comunidad.madrid/hospital/clinicosancarlos/declaracion-accesibilidad</v>
      </c>
      <c r="D1174" s="130" t="s">
        <v>26</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t="str" cm="1">
        <f t="array" ref="A1175">IFERROR(INDEX('03.Muestra'!$B$8:$B$42,SMALL(IF("Página Web"='03.Muestra'!$D$8:$D$42,ROW('03.Muestra'!$B$8:$B$42)-MIN(ROW('03.Muestra'!$D$8:$D$42))+1,""),ROW()-1158)),"")</f>
        <v/>
      </c>
      <c r="B1175" s="114" t="str" cm="1">
        <f t="array" ref="B1175">IFERROR(INDEX('03.Muestra'!$C$8:$C$42,SMALL(IF("Página Web"='03.Muestra'!$D$8:$D$42,ROW('03.Muestra'!$C$8:$C$42)-MIN(ROW('03.Muestra'!$D$8:$D$42))+1,""),ROW()-1158)),"")</f>
        <v/>
      </c>
      <c r="C1175" s="114" t="str" cm="1">
        <f t="array" ref="C1175">IFERROR(INDEX('03.Muestra'!$F$8:$F$42,SMALL(IF("Página Web"='03.Muestra'!$D$8:$D$42,ROW('03.Muestra'!$F$8:$F$42)-MIN(ROW('03.Muestra'!$D$8:$D$42))+1,""),ROW()-1158)),"")</f>
        <v/>
      </c>
      <c r="D1175" s="130" t="str">
        <f t="shared" ref="D1175:D1193" si="61">IF(AND(B1175&lt;&gt;"",C1175&lt;&gt;""),"N/T","")</f>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t="str" cm="1">
        <f t="array" ref="A1176">IFERROR(INDEX('03.Muestra'!$B$8:$B$42,SMALL(IF("Página Web"='03.Muestra'!$D$8:$D$42,ROW('03.Muestra'!$B$8:$B$42)-MIN(ROW('03.Muestra'!$D$8:$D$42))+1,""),ROW()-1158)),"")</f>
        <v/>
      </c>
      <c r="B1176" s="114" t="str" cm="1">
        <f t="array" ref="B1176">IFERROR(INDEX('03.Muestra'!$C$8:$C$42,SMALL(IF("Página Web"='03.Muestra'!$D$8:$D$42,ROW('03.Muestra'!$C$8:$C$42)-MIN(ROW('03.Muestra'!$D$8:$D$42))+1,""),ROW()-1158)),"")</f>
        <v/>
      </c>
      <c r="C1176" s="114" t="str" cm="1">
        <f t="array" ref="C1176">IFERROR(INDEX('03.Muestra'!$F$8:$F$42,SMALL(IF("Página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t="str" cm="1">
        <f t="array" ref="A1177">IFERROR(INDEX('03.Muestra'!$B$8:$B$42,SMALL(IF("Página Web"='03.Muestra'!$D$8:$D$42,ROW('03.Muestra'!$B$8:$B$42)-MIN(ROW('03.Muestra'!$D$8:$D$42))+1,""),ROW()-1158)),"")</f>
        <v/>
      </c>
      <c r="B1177" s="114" t="str" cm="1">
        <f t="array" ref="B1177">IFERROR(INDEX('03.Muestra'!$C$8:$C$42,SMALL(IF("Página Web"='03.Muestra'!$D$8:$D$42,ROW('03.Muestra'!$C$8:$C$42)-MIN(ROW('03.Muestra'!$D$8:$D$42))+1,""),ROW()-1158)),"")</f>
        <v/>
      </c>
      <c r="C1177" s="114" t="str" cm="1">
        <f t="array" ref="C1177">IFERROR(INDEX('03.Muestra'!$F$8:$F$42,SMALL(IF("Página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t="str" cm="1">
        <f t="array" ref="A1178">IFERROR(INDEX('03.Muestra'!$B$8:$B$42,SMALL(IF("Página Web"='03.Muestra'!$D$8:$D$42,ROW('03.Muestra'!$B$8:$B$42)-MIN(ROW('03.Muestra'!$D$8:$D$42))+1,""),ROW()-1158)),"")</f>
        <v/>
      </c>
      <c r="B1178" s="114" t="str" cm="1">
        <f t="array" ref="B1178">IFERROR(INDEX('03.Muestra'!$C$8:$C$42,SMALL(IF("Página Web"='03.Muestra'!$D$8:$D$42,ROW('03.Muestra'!$C$8:$C$42)-MIN(ROW('03.Muestra'!$D$8:$D$42))+1,""),ROW()-1158)),"")</f>
        <v/>
      </c>
      <c r="C1178" s="114" t="str" cm="1">
        <f t="array" ref="C1178">IFERROR(INDEX('03.Muestra'!$F$8:$F$42,SMALL(IF("Página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268</v>
      </c>
      <c r="B1196" s="24" t="s">
        <v>90</v>
      </c>
      <c r="C1196" s="25" t="s">
        <v>404</v>
      </c>
      <c r="D1196" s="26" t="s">
        <v>32</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https://www.comunidad.madrid/hospital/clinicosancarlos/</v>
      </c>
      <c r="D1197" s="130" t="s">
        <v>26</v>
      </c>
      <c r="E1197" s="107" t="str">
        <f t="shared" ref="E1197:E1231" si="62">IF(D1197&lt;&gt;"",IF(AND(B1197&lt;&gt;"",C1197&lt;&gt;""),"","ERR"),"")</f>
        <v/>
      </c>
      <c r="F1197" s="115" t="s">
        <v>33</v>
      </c>
      <c r="G1197" s="116" t="s">
        <v>37</v>
      </c>
      <c r="H1197" s="117" t="s">
        <v>35</v>
      </c>
      <c r="I1197" s="118" t="s">
        <v>28</v>
      </c>
      <c r="J1197" s="119" t="s">
        <v>26</v>
      </c>
      <c r="K1197" s="226" t="s">
        <v>474</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Ciudadanos</v>
      </c>
      <c r="C1198" s="114" t="str" cm="1">
        <f t="array" ref="C1198">IFERROR(INDEX('03.Muestra'!$F$8:$F$42,SMALL(IF("Página Web"='03.Muestra'!$D$8:$D$42,ROW('03.Muestra'!$F$8:$F$42)-MIN(ROW('03.Muestra'!$D$8:$D$42))+1,""),ROW()-1196)),"")</f>
        <v>https://www.comunidad.madrid/hospital/clinicosancarlos/ciudadanos</v>
      </c>
      <c r="D1198" s="130" t="s">
        <v>26</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16</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Consultas externas</v>
      </c>
      <c r="C1199" s="114" t="str" cm="1">
        <f t="array" ref="C1199">IFERROR(INDEX('03.Muestra'!$F$8:$F$42,SMALL(IF("Página Web"='03.Muestra'!$D$8:$D$42,ROW('03.Muestra'!$F$8:$F$42)-MIN(ROW('03.Muestra'!$D$8:$D$42))+1,""),ROW()-1196)),"")</f>
        <v>https://www.comunidad.madrid/hospital/clinicosancarlos/ciudadanos/consultas-externas</v>
      </c>
      <c r="D1199" s="130" t="s">
        <v>26</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Donación</v>
      </c>
      <c r="C1200" s="114" t="str" cm="1">
        <f t="array" ref="C1200">IFERROR(INDEX('03.Muestra'!$F$8:$F$42,SMALL(IF("Página Web"='03.Muestra'!$D$8:$D$42,ROW('03.Muestra'!$F$8:$F$42)-MIN(ROW('03.Muestra'!$D$8:$D$42))+1,""),ROW()-1196)),"")</f>
        <v>https://www.comunidad.madrid/hospital/clinicosancarlos/ciudadanos/donacion-0</v>
      </c>
      <c r="D1200" s="130" t="s">
        <v>26</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Profesionales</v>
      </c>
      <c r="C1201" s="114" t="str" cm="1">
        <f t="array" ref="C1201">IFERROR(INDEX('03.Muestra'!$F$8:$F$42,SMALL(IF("Página Web"='03.Muestra'!$D$8:$D$42,ROW('03.Muestra'!$F$8:$F$42)-MIN(ROW('03.Muestra'!$D$8:$D$42))+1,""),ROW()-1196)),"")</f>
        <v>https://www.comunidad.madrid/hospital/clinicosancarlos/profesionales</v>
      </c>
      <c r="D1201" s="130" t="s">
        <v>26</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Docencia</v>
      </c>
      <c r="C1202" s="114" t="str" cm="1">
        <f t="array" ref="C1202">IFERROR(INDEX('03.Muestra'!$F$8:$F$42,SMALL(IF("Página Web"='03.Muestra'!$D$8:$D$42,ROW('03.Muestra'!$F$8:$F$42)-MIN(ROW('03.Muestra'!$D$8:$D$42))+1,""),ROW()-1196)),"")</f>
        <v>https://www.comunidad.madrid/hospital/clinicosancarlos/profesionales/docencia</v>
      </c>
      <c r="D1202" s="130" t="s">
        <v>26</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Referencia</v>
      </c>
      <c r="C1203" s="114" t="str" cm="1">
        <f t="array" ref="C1203">IFERROR(INDEX('03.Muestra'!$F$8:$F$42,SMALL(IF("Página Web"='03.Muestra'!$D$8:$D$42,ROW('03.Muestra'!$F$8:$F$42)-MIN(ROW('03.Muestra'!$D$8:$D$42))+1,""),ROW()-1196)),"")</f>
        <v>https://www.comunidad.madrid/hospital/clinicosancarlos/profesionales/unidades-referencia-nacional-redes-europeas</v>
      </c>
      <c r="D1203" s="130" t="s">
        <v>26</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Comunicación</v>
      </c>
      <c r="C1204" s="114" t="str" cm="1">
        <f t="array" ref="C1204">IFERROR(INDEX('03.Muestra'!$F$8:$F$42,SMALL(IF("Página Web"='03.Muestra'!$D$8:$D$42,ROW('03.Muestra'!$F$8:$F$42)-MIN(ROW('03.Muestra'!$D$8:$D$42))+1,""),ROW()-1196)),"")</f>
        <v>https://www.comunidad.madrid/hospital/clinicosancarlos/comunicacion</v>
      </c>
      <c r="D1204" s="130" t="s">
        <v>26</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Videoteca</v>
      </c>
      <c r="C1205" s="114" t="str" cm="1">
        <f t="array" ref="C1205">IFERROR(INDEX('03.Muestra'!$F$8:$F$42,SMALL(IF("Página Web"='03.Muestra'!$D$8:$D$42,ROW('03.Muestra'!$F$8:$F$42)-MIN(ROW('03.Muestra'!$D$8:$D$42))+1,""),ROW()-1196)),"")</f>
        <v>https://www.comunidad.madrid/hospital/clinicosancarlos/comunicacion/videoteca</v>
      </c>
      <c r="D1205" s="130" t="s">
        <v>26</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Noticias</v>
      </c>
      <c r="C1206" s="114" t="str" cm="1">
        <f t="array" ref="C1206">IFERROR(INDEX('03.Muestra'!$F$8:$F$42,SMALL(IF("Página Web"='03.Muestra'!$D$8:$D$42,ROW('03.Muestra'!$F$8:$F$42)-MIN(ROW('03.Muestra'!$D$8:$D$42))+1,""),ROW()-1196)),"")</f>
        <v>https://www.comunidad.madrid/hospital/clinicosancarlos/comunicacion/noticias</v>
      </c>
      <c r="D1206" s="130" t="s">
        <v>26</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Nosotros</v>
      </c>
      <c r="C1207" s="114" t="str" cm="1">
        <f t="array" ref="C1207">IFERROR(INDEX('03.Muestra'!$F$8:$F$42,SMALL(IF("Página Web"='03.Muestra'!$D$8:$D$42,ROW('03.Muestra'!$F$8:$F$42)-MIN(ROW('03.Muestra'!$D$8:$D$42))+1,""),ROW()-1196)),"")</f>
        <v>https://www.comunidad.madrid/hospital/clinicosancarlos/nosotros</v>
      </c>
      <c r="D1207" s="130" t="s">
        <v>26</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Gestión Ambiental</v>
      </c>
      <c r="C1208" s="114" t="str" cm="1">
        <f t="array" ref="C1208">IFERROR(INDEX('03.Muestra'!$F$8:$F$42,SMALL(IF("Página Web"='03.Muestra'!$D$8:$D$42,ROW('03.Muestra'!$F$8:$F$42)-MIN(ROW('03.Muestra'!$D$8:$D$42))+1,""),ROW()-1196)),"")</f>
        <v>https://www.comunidad.madrid/hospital/clinicosancarlos/nosotros/gestion-ambiental</v>
      </c>
      <c r="D1208" s="130" t="s">
        <v>26</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Proveedores</v>
      </c>
      <c r="C1209" s="114" t="str" cm="1">
        <f t="array" ref="C1209">IFERROR(INDEX('03.Muestra'!$F$8:$F$42,SMALL(IF("Página Web"='03.Muestra'!$D$8:$D$42,ROW('03.Muestra'!$F$8:$F$42)-MIN(ROW('03.Muestra'!$D$8:$D$42))+1,""),ROW()-1196)),"")</f>
        <v>https://www.comunidad.madrid/hospital/clinicosancarlos/nosotros/proveedores-0</v>
      </c>
      <c r="D1209" s="130" t="s">
        <v>26</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Aviso legal</v>
      </c>
      <c r="C1210" s="114" t="str" cm="1">
        <f t="array" ref="C1210">IFERROR(INDEX('03.Muestra'!$F$8:$F$42,SMALL(IF("Página Web"='03.Muestra'!$D$8:$D$42,ROW('03.Muestra'!$F$8:$F$42)-MIN(ROW('03.Muestra'!$D$8:$D$42))+1,""),ROW()-1196)),"")</f>
        <v>https://www.comunidad.madrid/hospital/clinicosancarlos/aviso-legal-privacidad</v>
      </c>
      <c r="D1210" s="130" t="s">
        <v>26</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Mapa web</v>
      </c>
      <c r="C1211" s="114" t="str" cm="1">
        <f t="array" ref="C1211">IFERROR(INDEX('03.Muestra'!$F$8:$F$42,SMALL(IF("Página Web"='03.Muestra'!$D$8:$D$42,ROW('03.Muestra'!$F$8:$F$42)-MIN(ROW('03.Muestra'!$D$8:$D$42))+1,""),ROW()-1196)),"")</f>
        <v>https://www.comunidad.madrid/hospital/clinicosancarlos/sitemap</v>
      </c>
      <c r="D1211" s="130" t="s">
        <v>26</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Accesibilidad</v>
      </c>
      <c r="C1212" s="114" t="str" cm="1">
        <f t="array" ref="C1212">IFERROR(INDEX('03.Muestra'!$F$8:$F$42,SMALL(IF("Página Web"='03.Muestra'!$D$8:$D$42,ROW('03.Muestra'!$F$8:$F$42)-MIN(ROW('03.Muestra'!$D$8:$D$42))+1,""),ROW()-1196)),"")</f>
        <v>https://www.comunidad.madrid/hospital/clinicosancarlos/declaracion-accesibilidad</v>
      </c>
      <c r="D1212" s="130" t="s">
        <v>26</v>
      </c>
      <c r="E1212" s="107" t="str">
        <f t="shared" si="62"/>
        <v/>
      </c>
      <c r="F1212" s="19"/>
      <c r="G1212" s="19"/>
      <c r="H1212" s="19"/>
      <c r="I1212" s="19"/>
      <c r="J1212" s="19"/>
      <c r="K1212" s="233"/>
      <c r="L1212" s="19"/>
    </row>
    <row r="1213" spans="1:12" ht="12" customHeight="1">
      <c r="A1213" s="219" t="str" cm="1">
        <f t="array" ref="A1213">IFERROR(INDEX('03.Muestra'!$B$8:$B$42,SMALL(IF("Página Web"='03.Muestra'!$D$8:$D$42,ROW('03.Muestra'!$B$8:$B$42)-MIN(ROW('03.Muestra'!$D$8:$D$42))+1,""),ROW()-1196)),"")</f>
        <v/>
      </c>
      <c r="B1213" s="114" t="str" cm="1">
        <f t="array" ref="B1213">IFERROR(INDEX('03.Muestra'!$C$8:$C$42,SMALL(IF("Página Web"='03.Muestra'!$D$8:$D$42,ROW('03.Muestra'!$C$8:$C$42)-MIN(ROW('03.Muestra'!$D$8:$D$42))+1,""),ROW()-1196)),"")</f>
        <v/>
      </c>
      <c r="C1213" s="114" t="str" cm="1">
        <f t="array" ref="C1213">IFERROR(INDEX('03.Muestra'!$F$8:$F$42,SMALL(IF("Página Web"='03.Muestra'!$D$8:$D$42,ROW('03.Muestra'!$F$8:$F$42)-MIN(ROW('03.Muestra'!$D$8:$D$42))+1,""),ROW()-1196)),"")</f>
        <v/>
      </c>
      <c r="D1213" s="130" t="str">
        <f t="shared" ref="D1213:D1231" si="63">IF(AND(B1213&lt;&gt;"",C1213&lt;&gt;""),"N/T","")</f>
        <v/>
      </c>
      <c r="E1213" s="107" t="str">
        <f t="shared" si="62"/>
        <v/>
      </c>
      <c r="F1213" s="19"/>
      <c r="G1213" s="19"/>
      <c r="H1213" s="19"/>
      <c r="I1213" s="19"/>
      <c r="J1213" s="19"/>
      <c r="K1213" s="233"/>
      <c r="L1213" s="19"/>
    </row>
    <row r="1214" spans="1:12" ht="12" customHeight="1">
      <c r="A1214" s="219" t="str" cm="1">
        <f t="array" ref="A1214">IFERROR(INDEX('03.Muestra'!$B$8:$B$42,SMALL(IF("Página Web"='03.Muestra'!$D$8:$D$42,ROW('03.Muestra'!$B$8:$B$42)-MIN(ROW('03.Muestra'!$D$8:$D$42))+1,""),ROW()-1196)),"")</f>
        <v/>
      </c>
      <c r="B1214" s="114" t="str" cm="1">
        <f t="array" ref="B1214">IFERROR(INDEX('03.Muestra'!$C$8:$C$42,SMALL(IF("Página Web"='03.Muestra'!$D$8:$D$42,ROW('03.Muestra'!$C$8:$C$42)-MIN(ROW('03.Muestra'!$D$8:$D$42))+1,""),ROW()-1196)),"")</f>
        <v/>
      </c>
      <c r="C1214" s="114" t="str" cm="1">
        <f t="array" ref="C1214">IFERROR(INDEX('03.Muestra'!$F$8:$F$42,SMALL(IF("Página Web"='03.Muestra'!$D$8:$D$42,ROW('03.Muestra'!$F$8:$F$42)-MIN(ROW('03.Muestra'!$D$8:$D$42))+1,""),ROW()-1196)),"")</f>
        <v/>
      </c>
      <c r="D1214" s="130" t="str">
        <f t="shared" si="63"/>
        <v/>
      </c>
      <c r="E1214" s="107" t="str">
        <f t="shared" si="62"/>
        <v/>
      </c>
      <c r="F1214" s="19"/>
      <c r="G1214" s="19"/>
      <c r="H1214" s="19"/>
      <c r="I1214" s="19"/>
      <c r="J1214" s="19"/>
      <c r="K1214" s="233"/>
      <c r="L1214" s="19"/>
    </row>
    <row r="1215" spans="1:12" ht="12" customHeight="1">
      <c r="A1215" s="219" t="str" cm="1">
        <f t="array" ref="A1215">IFERROR(INDEX('03.Muestra'!$B$8:$B$42,SMALL(IF("Página Web"='03.Muestra'!$D$8:$D$42,ROW('03.Muestra'!$B$8:$B$42)-MIN(ROW('03.Muestra'!$D$8:$D$42))+1,""),ROW()-1196)),"")</f>
        <v/>
      </c>
      <c r="B1215" s="114" t="str" cm="1">
        <f t="array" ref="B1215">IFERROR(INDEX('03.Muestra'!$C$8:$C$42,SMALL(IF("Página Web"='03.Muestra'!$D$8:$D$42,ROW('03.Muestra'!$C$8:$C$42)-MIN(ROW('03.Muestra'!$D$8:$D$42))+1,""),ROW()-1196)),"")</f>
        <v/>
      </c>
      <c r="C1215" s="114" t="str" cm="1">
        <f t="array" ref="C1215">IFERROR(INDEX('03.Muestra'!$F$8:$F$42,SMALL(IF("Página Web"='03.Muestra'!$D$8:$D$42,ROW('03.Muestra'!$F$8:$F$42)-MIN(ROW('03.Muestra'!$D$8:$D$42))+1,""),ROW()-1196)),"")</f>
        <v/>
      </c>
      <c r="D1215" s="130" t="str">
        <f t="shared" si="63"/>
        <v/>
      </c>
      <c r="E1215" s="107" t="str">
        <f t="shared" si="62"/>
        <v/>
      </c>
      <c r="F1215" s="19"/>
      <c r="G1215" s="19"/>
      <c r="H1215" s="19"/>
      <c r="I1215" s="19"/>
      <c r="J1215" s="19"/>
      <c r="K1215" s="233"/>
      <c r="L1215" s="19"/>
    </row>
    <row r="1216" spans="1:12" ht="12" customHeight="1">
      <c r="A1216" s="219" t="str" cm="1">
        <f t="array" ref="A1216">IFERROR(INDEX('03.Muestra'!$B$8:$B$42,SMALL(IF("Página Web"='03.Muestra'!$D$8:$D$42,ROW('03.Muestra'!$B$8:$B$42)-MIN(ROW('03.Muestra'!$D$8:$D$42))+1,""),ROW()-1196)),"")</f>
        <v/>
      </c>
      <c r="B1216" s="114" t="str" cm="1">
        <f t="array" ref="B1216">IFERROR(INDEX('03.Muestra'!$C$8:$C$42,SMALL(IF("Página Web"='03.Muestra'!$D$8:$D$42,ROW('03.Muestra'!$C$8:$C$42)-MIN(ROW('03.Muestra'!$D$8:$D$42))+1,""),ROW()-1196)),"")</f>
        <v/>
      </c>
      <c r="C1216" s="114" t="str" cm="1">
        <f t="array" ref="C1216">IFERROR(INDEX('03.Muestra'!$F$8:$F$42,SMALL(IF("Página Web"='03.Muestra'!$D$8:$D$42,ROW('03.Muestra'!$F$8:$F$42)-MIN(ROW('03.Muestra'!$D$8:$D$42))+1,""),ROW()-1196)),"")</f>
        <v/>
      </c>
      <c r="D1216" s="130" t="str">
        <f t="shared" si="63"/>
        <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si="63"/>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268</v>
      </c>
      <c r="B1234" s="24" t="s">
        <v>90</v>
      </c>
      <c r="C1234" s="25" t="s">
        <v>405</v>
      </c>
      <c r="D1234" s="26" t="s">
        <v>32</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https://www.comunidad.madrid/hospital/clinicosancarlos/</v>
      </c>
      <c r="D1235" s="130" t="s">
        <v>35</v>
      </c>
      <c r="E1235" s="107" t="str">
        <f t="shared" ref="E1235:E1269" si="64">IF(D1235&lt;&gt;"",IF(AND(B1235&lt;&gt;"",C1235&lt;&gt;""),"","ERR"),"")</f>
        <v/>
      </c>
      <c r="F1235" s="115" t="s">
        <v>33</v>
      </c>
      <c r="G1235" s="116" t="s">
        <v>37</v>
      </c>
      <c r="H1235" s="117" t="s">
        <v>35</v>
      </c>
      <c r="I1235" s="118" t="s">
        <v>28</v>
      </c>
      <c r="J1235" s="119" t="s">
        <v>26</v>
      </c>
      <c r="K1235" s="226" t="s">
        <v>474</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Ciudadanos</v>
      </c>
      <c r="C1236" s="114" t="str" cm="1">
        <f t="array" ref="C1236">IFERROR(INDEX('03.Muestra'!$F$8:$F$42,SMALL(IF("Página Web"='03.Muestra'!$D$8:$D$42,ROW('03.Muestra'!$F$8:$F$42)-MIN(ROW('03.Muestra'!$D$8:$D$42))+1,""),ROW()-1234)),"")</f>
        <v>https://www.comunidad.madrid/hospital/clinicosancarlos/ciudadanos</v>
      </c>
      <c r="D1236" s="130" t="s">
        <v>35</v>
      </c>
      <c r="E1236" s="107" t="str">
        <f t="shared" si="64"/>
        <v/>
      </c>
      <c r="F1236" s="120">
        <f ca="1">COUNTIF($D1235:INDIRECT("$D" &amp;  SUM(ROW()-1,'03.Muestra'!$D$45)-1),F1235)</f>
        <v>0</v>
      </c>
      <c r="G1236" s="120">
        <f ca="1">COUNTIF($D1235:INDIRECT("$D" &amp;  SUM(ROW()-1,'03.Muestra'!$D$45)-1),G1235)</f>
        <v>0</v>
      </c>
      <c r="H1236" s="120">
        <f ca="1">COUNTIF($D1235:INDIRECT("$D" &amp;  SUM(ROW()-1,'03.Muestra'!$D$45)-1),H1235)</f>
        <v>16</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Consultas externas</v>
      </c>
      <c r="C1237" s="114" t="str" cm="1">
        <f t="array" ref="C1237">IFERROR(INDEX('03.Muestra'!$F$8:$F$42,SMALL(IF("Página Web"='03.Muestra'!$D$8:$D$42,ROW('03.Muestra'!$F$8:$F$42)-MIN(ROW('03.Muestra'!$D$8:$D$42))+1,""),ROW()-1234)),"")</f>
        <v>https://www.comunidad.madrid/hospital/clinicosancarlos/ciudadanos/consultas-externas</v>
      </c>
      <c r="D1237" s="130" t="s">
        <v>35</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Donación</v>
      </c>
      <c r="C1238" s="114" t="str" cm="1">
        <f t="array" ref="C1238">IFERROR(INDEX('03.Muestra'!$F$8:$F$42,SMALL(IF("Página Web"='03.Muestra'!$D$8:$D$42,ROW('03.Muestra'!$F$8:$F$42)-MIN(ROW('03.Muestra'!$D$8:$D$42))+1,""),ROW()-1234)),"")</f>
        <v>https://www.comunidad.madrid/hospital/clinicosancarlos/ciudadanos/donacion-0</v>
      </c>
      <c r="D1238" s="130" t="s">
        <v>35</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Profesionales</v>
      </c>
      <c r="C1239" s="114" t="str" cm="1">
        <f t="array" ref="C1239">IFERROR(INDEX('03.Muestra'!$F$8:$F$42,SMALL(IF("Página Web"='03.Muestra'!$D$8:$D$42,ROW('03.Muestra'!$F$8:$F$42)-MIN(ROW('03.Muestra'!$D$8:$D$42))+1,""),ROW()-1234)),"")</f>
        <v>https://www.comunidad.madrid/hospital/clinicosancarlos/profesionales</v>
      </c>
      <c r="D1239" s="130" t="s">
        <v>35</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Docencia</v>
      </c>
      <c r="C1240" s="114" t="str" cm="1">
        <f t="array" ref="C1240">IFERROR(INDEX('03.Muestra'!$F$8:$F$42,SMALL(IF("Página Web"='03.Muestra'!$D$8:$D$42,ROW('03.Muestra'!$F$8:$F$42)-MIN(ROW('03.Muestra'!$D$8:$D$42))+1,""),ROW()-1234)),"")</f>
        <v>https://www.comunidad.madrid/hospital/clinicosancarlos/profesionales/docencia</v>
      </c>
      <c r="D1240" s="130" t="s">
        <v>35</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Referencia</v>
      </c>
      <c r="C1241" s="114" t="str" cm="1">
        <f t="array" ref="C1241">IFERROR(INDEX('03.Muestra'!$F$8:$F$42,SMALL(IF("Página Web"='03.Muestra'!$D$8:$D$42,ROW('03.Muestra'!$F$8:$F$42)-MIN(ROW('03.Muestra'!$D$8:$D$42))+1,""),ROW()-1234)),"")</f>
        <v>https://www.comunidad.madrid/hospital/clinicosancarlos/profesionales/unidades-referencia-nacional-redes-europeas</v>
      </c>
      <c r="D1241" s="130" t="s">
        <v>35</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Comunicación</v>
      </c>
      <c r="C1242" s="114" t="str" cm="1">
        <f t="array" ref="C1242">IFERROR(INDEX('03.Muestra'!$F$8:$F$42,SMALL(IF("Página Web"='03.Muestra'!$D$8:$D$42,ROW('03.Muestra'!$F$8:$F$42)-MIN(ROW('03.Muestra'!$D$8:$D$42))+1,""),ROW()-1234)),"")</f>
        <v>https://www.comunidad.madrid/hospital/clinicosancarlos/comunicacion</v>
      </c>
      <c r="D1242" s="130" t="s">
        <v>35</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Videoteca</v>
      </c>
      <c r="C1243" s="114" t="str" cm="1">
        <f t="array" ref="C1243">IFERROR(INDEX('03.Muestra'!$F$8:$F$42,SMALL(IF("Página Web"='03.Muestra'!$D$8:$D$42,ROW('03.Muestra'!$F$8:$F$42)-MIN(ROW('03.Muestra'!$D$8:$D$42))+1,""),ROW()-1234)),"")</f>
        <v>https://www.comunidad.madrid/hospital/clinicosancarlos/comunicacion/videoteca</v>
      </c>
      <c r="D1243" s="130" t="s">
        <v>35</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Noticias</v>
      </c>
      <c r="C1244" s="114" t="str" cm="1">
        <f t="array" ref="C1244">IFERROR(INDEX('03.Muestra'!$F$8:$F$42,SMALL(IF("Página Web"='03.Muestra'!$D$8:$D$42,ROW('03.Muestra'!$F$8:$F$42)-MIN(ROW('03.Muestra'!$D$8:$D$42))+1,""),ROW()-1234)),"")</f>
        <v>https://www.comunidad.madrid/hospital/clinicosancarlos/comunicacion/noticias</v>
      </c>
      <c r="D1244" s="130" t="s">
        <v>35</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Nosotros</v>
      </c>
      <c r="C1245" s="114" t="str" cm="1">
        <f t="array" ref="C1245">IFERROR(INDEX('03.Muestra'!$F$8:$F$42,SMALL(IF("Página Web"='03.Muestra'!$D$8:$D$42,ROW('03.Muestra'!$F$8:$F$42)-MIN(ROW('03.Muestra'!$D$8:$D$42))+1,""),ROW()-1234)),"")</f>
        <v>https://www.comunidad.madrid/hospital/clinicosancarlos/nosotros</v>
      </c>
      <c r="D1245" s="130" t="s">
        <v>35</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Gestión Ambiental</v>
      </c>
      <c r="C1246" s="114" t="str" cm="1">
        <f t="array" ref="C1246">IFERROR(INDEX('03.Muestra'!$F$8:$F$42,SMALL(IF("Página Web"='03.Muestra'!$D$8:$D$42,ROW('03.Muestra'!$F$8:$F$42)-MIN(ROW('03.Muestra'!$D$8:$D$42))+1,""),ROW()-1234)),"")</f>
        <v>https://www.comunidad.madrid/hospital/clinicosancarlos/nosotros/gestion-ambiental</v>
      </c>
      <c r="D1246" s="130" t="s">
        <v>35</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Proveedores</v>
      </c>
      <c r="C1247" s="114" t="str" cm="1">
        <f t="array" ref="C1247">IFERROR(INDEX('03.Muestra'!$F$8:$F$42,SMALL(IF("Página Web"='03.Muestra'!$D$8:$D$42,ROW('03.Muestra'!$F$8:$F$42)-MIN(ROW('03.Muestra'!$D$8:$D$42))+1,""),ROW()-1234)),"")</f>
        <v>https://www.comunidad.madrid/hospital/clinicosancarlos/nosotros/proveedores-0</v>
      </c>
      <c r="D1247" s="130" t="s">
        <v>35</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Aviso legal</v>
      </c>
      <c r="C1248" s="114" t="str" cm="1">
        <f t="array" ref="C1248">IFERROR(INDEX('03.Muestra'!$F$8:$F$42,SMALL(IF("Página Web"='03.Muestra'!$D$8:$D$42,ROW('03.Muestra'!$F$8:$F$42)-MIN(ROW('03.Muestra'!$D$8:$D$42))+1,""),ROW()-1234)),"")</f>
        <v>https://www.comunidad.madrid/hospital/clinicosancarlos/aviso-legal-privacidad</v>
      </c>
      <c r="D1248" s="130" t="s">
        <v>35</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Mapa web</v>
      </c>
      <c r="C1249" s="114" t="str" cm="1">
        <f t="array" ref="C1249">IFERROR(INDEX('03.Muestra'!$F$8:$F$42,SMALL(IF("Página Web"='03.Muestra'!$D$8:$D$42,ROW('03.Muestra'!$F$8:$F$42)-MIN(ROW('03.Muestra'!$D$8:$D$42))+1,""),ROW()-1234)),"")</f>
        <v>https://www.comunidad.madrid/hospital/clinicosancarlos/sitemap</v>
      </c>
      <c r="D1249" s="130" t="s">
        <v>35</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Accesibilidad</v>
      </c>
      <c r="C1250" s="114" t="str" cm="1">
        <f t="array" ref="C1250">IFERROR(INDEX('03.Muestra'!$F$8:$F$42,SMALL(IF("Página Web"='03.Muestra'!$D$8:$D$42,ROW('03.Muestra'!$F$8:$F$42)-MIN(ROW('03.Muestra'!$D$8:$D$42))+1,""),ROW()-1234)),"")</f>
        <v>https://www.comunidad.madrid/hospital/clinicosancarlos/declaracion-accesibilidad</v>
      </c>
      <c r="D1250" s="130" t="s">
        <v>35</v>
      </c>
      <c r="E1250" s="107" t="str">
        <f t="shared" si="64"/>
        <v/>
      </c>
      <c r="F1250" s="19"/>
      <c r="G1250" s="19"/>
      <c r="H1250" s="19"/>
      <c r="I1250" s="19"/>
      <c r="J1250" s="19"/>
      <c r="K1250" s="233"/>
      <c r="L1250" s="19"/>
    </row>
    <row r="1251" spans="1:12" ht="12" customHeight="1">
      <c r="A1251" s="219" t="str" cm="1">
        <f t="array" ref="A1251">IFERROR(INDEX('03.Muestra'!$B$8:$B$42,SMALL(IF("Página Web"='03.Muestra'!$D$8:$D$42,ROW('03.Muestra'!$B$8:$B$42)-MIN(ROW('03.Muestra'!$D$8:$D$42))+1,""),ROW()-1234)),"")</f>
        <v/>
      </c>
      <c r="B1251" s="114" t="str" cm="1">
        <f t="array" ref="B1251">IFERROR(INDEX('03.Muestra'!$C$8:$C$42,SMALL(IF("Página Web"='03.Muestra'!$D$8:$D$42,ROW('03.Muestra'!$C$8:$C$42)-MIN(ROW('03.Muestra'!$D$8:$D$42))+1,""),ROW()-1234)),"")</f>
        <v/>
      </c>
      <c r="C1251" s="114" t="str" cm="1">
        <f t="array" ref="C1251">IFERROR(INDEX('03.Muestra'!$F$8:$F$42,SMALL(IF("Página Web"='03.Muestra'!$D$8:$D$42,ROW('03.Muestra'!$F$8:$F$42)-MIN(ROW('03.Muestra'!$D$8:$D$42))+1,""),ROW()-1234)),"")</f>
        <v/>
      </c>
      <c r="D1251" s="130" t="str">
        <f t="shared" ref="D1251:D1269" si="65">IF(AND(B1251&lt;&gt;"",C1251&lt;&gt;""),"N/T","")</f>
        <v/>
      </c>
      <c r="E1251" s="107" t="str">
        <f t="shared" si="64"/>
        <v/>
      </c>
      <c r="F1251" s="19"/>
      <c r="G1251" s="19"/>
      <c r="H1251" s="19"/>
      <c r="I1251" s="19"/>
      <c r="J1251" s="19"/>
      <c r="K1251" s="233"/>
      <c r="L1251" s="19"/>
    </row>
    <row r="1252" spans="1:12" ht="12" customHeight="1">
      <c r="A1252" s="219" t="str" cm="1">
        <f t="array" ref="A1252">IFERROR(INDEX('03.Muestra'!$B$8:$B$42,SMALL(IF("Página Web"='03.Muestra'!$D$8:$D$42,ROW('03.Muestra'!$B$8:$B$42)-MIN(ROW('03.Muestra'!$D$8:$D$42))+1,""),ROW()-1234)),"")</f>
        <v/>
      </c>
      <c r="B1252" s="114" t="str" cm="1">
        <f t="array" ref="B1252">IFERROR(INDEX('03.Muestra'!$C$8:$C$42,SMALL(IF("Página Web"='03.Muestra'!$D$8:$D$42,ROW('03.Muestra'!$C$8:$C$42)-MIN(ROW('03.Muestra'!$D$8:$D$42))+1,""),ROW()-1234)),"")</f>
        <v/>
      </c>
      <c r="C1252" s="114" t="str" cm="1">
        <f t="array" ref="C1252">IFERROR(INDEX('03.Muestra'!$F$8:$F$42,SMALL(IF("Página Web"='03.Muestra'!$D$8:$D$42,ROW('03.Muestra'!$F$8:$F$42)-MIN(ROW('03.Muestra'!$D$8:$D$42))+1,""),ROW()-1234)),"")</f>
        <v/>
      </c>
      <c r="D1252" s="130" t="str">
        <f t="shared" si="65"/>
        <v/>
      </c>
      <c r="E1252" s="107" t="str">
        <f t="shared" si="64"/>
        <v/>
      </c>
      <c r="F1252" s="19"/>
      <c r="G1252" s="19"/>
      <c r="H1252" s="19"/>
      <c r="I1252" s="19"/>
      <c r="J1252" s="19"/>
      <c r="K1252" s="233"/>
      <c r="L1252" s="19"/>
    </row>
    <row r="1253" spans="1:12" ht="12" customHeight="1">
      <c r="A1253" s="219" t="str" cm="1">
        <f t="array" ref="A1253">IFERROR(INDEX('03.Muestra'!$B$8:$B$42,SMALL(IF("Página Web"='03.Muestra'!$D$8:$D$42,ROW('03.Muestra'!$B$8:$B$42)-MIN(ROW('03.Muestra'!$D$8:$D$42))+1,""),ROW()-1234)),"")</f>
        <v/>
      </c>
      <c r="B1253" s="114" t="str" cm="1">
        <f t="array" ref="B1253">IFERROR(INDEX('03.Muestra'!$C$8:$C$42,SMALL(IF("Página Web"='03.Muestra'!$D$8:$D$42,ROW('03.Muestra'!$C$8:$C$42)-MIN(ROW('03.Muestra'!$D$8:$D$42))+1,""),ROW()-1234)),"")</f>
        <v/>
      </c>
      <c r="C1253" s="114" t="str" cm="1">
        <f t="array" ref="C1253">IFERROR(INDEX('03.Muestra'!$F$8:$F$42,SMALL(IF("Página Web"='03.Muestra'!$D$8:$D$42,ROW('03.Muestra'!$F$8:$F$42)-MIN(ROW('03.Muestra'!$D$8:$D$42))+1,""),ROW()-1234)),"")</f>
        <v/>
      </c>
      <c r="D1253" s="130" t="str">
        <f t="shared" si="65"/>
        <v/>
      </c>
      <c r="E1253" s="107" t="str">
        <f t="shared" si="64"/>
        <v/>
      </c>
      <c r="F1253" s="19"/>
      <c r="G1253" s="19"/>
      <c r="H1253" s="19"/>
      <c r="I1253" s="19"/>
      <c r="J1253" s="19"/>
      <c r="K1253" s="233"/>
      <c r="L1253" s="19"/>
    </row>
    <row r="1254" spans="1:12" ht="12" customHeight="1">
      <c r="A1254" s="219" t="str" cm="1">
        <f t="array" ref="A1254">IFERROR(INDEX('03.Muestra'!$B$8:$B$42,SMALL(IF("Página Web"='03.Muestra'!$D$8:$D$42,ROW('03.Muestra'!$B$8:$B$42)-MIN(ROW('03.Muestra'!$D$8:$D$42))+1,""),ROW()-1234)),"")</f>
        <v/>
      </c>
      <c r="B1254" s="114" t="str" cm="1">
        <f t="array" ref="B1254">IFERROR(INDEX('03.Muestra'!$C$8:$C$42,SMALL(IF("Página Web"='03.Muestra'!$D$8:$D$42,ROW('03.Muestra'!$C$8:$C$42)-MIN(ROW('03.Muestra'!$D$8:$D$42))+1,""),ROW()-1234)),"")</f>
        <v/>
      </c>
      <c r="C1254" s="114" t="str" cm="1">
        <f t="array" ref="C1254">IFERROR(INDEX('03.Muestra'!$F$8:$F$42,SMALL(IF("Página Web"='03.Muestra'!$D$8:$D$42,ROW('03.Muestra'!$F$8:$F$42)-MIN(ROW('03.Muestra'!$D$8:$D$42))+1,""),ROW()-1234)),"")</f>
        <v/>
      </c>
      <c r="D1254" s="130" t="str">
        <f t="shared" si="65"/>
        <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si="65"/>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268</v>
      </c>
      <c r="B1272" s="24" t="s">
        <v>90</v>
      </c>
      <c r="C1272" s="25" t="s">
        <v>406</v>
      </c>
      <c r="D1272" s="26" t="s">
        <v>32</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https://www.comunidad.madrid/hospital/clinicosancarlos/</v>
      </c>
      <c r="D1273" s="130" t="s">
        <v>35</v>
      </c>
      <c r="E1273" s="107" t="str">
        <f t="shared" ref="E1273:E1307" si="66">IF(D1273&lt;&gt;"",IF(AND(B1273&lt;&gt;"",C1273&lt;&gt;""),"","ERR"),"")</f>
        <v/>
      </c>
      <c r="F1273" s="115" t="s">
        <v>33</v>
      </c>
      <c r="G1273" s="116" t="s">
        <v>37</v>
      </c>
      <c r="H1273" s="117" t="s">
        <v>35</v>
      </c>
      <c r="I1273" s="118" t="s">
        <v>28</v>
      </c>
      <c r="J1273" s="119" t="s">
        <v>26</v>
      </c>
      <c r="K1273" s="226" t="s">
        <v>474</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Ciudadanos</v>
      </c>
      <c r="C1274" s="114" t="str" cm="1">
        <f t="array" ref="C1274">IFERROR(INDEX('03.Muestra'!$F$8:$F$42,SMALL(IF("Página Web"='03.Muestra'!$D$8:$D$42,ROW('03.Muestra'!$F$8:$F$42)-MIN(ROW('03.Muestra'!$D$8:$D$42))+1,""),ROW()-1272)),"")</f>
        <v>https://www.comunidad.madrid/hospital/clinicosancarlos/ciudadanos</v>
      </c>
      <c r="D1274" s="130" t="s">
        <v>35</v>
      </c>
      <c r="E1274" s="107" t="str">
        <f t="shared" si="66"/>
        <v/>
      </c>
      <c r="F1274" s="120">
        <f ca="1">COUNTIF($D1273:INDIRECT("$D" &amp;  SUM(ROW()-1,'03.Muestra'!$D$45)-1),F1273)</f>
        <v>0</v>
      </c>
      <c r="G1274" s="120">
        <f ca="1">COUNTIF($D1273:INDIRECT("$D" &amp;  SUM(ROW()-1,'03.Muestra'!$D$45)-1),G1273)</f>
        <v>0</v>
      </c>
      <c r="H1274" s="120">
        <f ca="1">COUNTIF($D1273:INDIRECT("$D" &amp;  SUM(ROW()-1,'03.Muestra'!$D$45)-1),H1273)</f>
        <v>16</v>
      </c>
      <c r="I1274" s="120">
        <f ca="1">COUNTIF($D1273:INDIRECT("$D" &amp;  SUM(ROW()-1,'03.Muestra'!$D$45)-1),I1273)</f>
        <v>0</v>
      </c>
      <c r="J1274" s="120">
        <f ca="1">COUNTIF($D1273:INDIRECT("$D" &amp;  SUM(ROW()-1,'03.Muestra'!$D$45)-1),J1273)</f>
        <v>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Consultas externas</v>
      </c>
      <c r="C1275" s="114" t="str" cm="1">
        <f t="array" ref="C1275">IFERROR(INDEX('03.Muestra'!$F$8:$F$42,SMALL(IF("Página Web"='03.Muestra'!$D$8:$D$42,ROW('03.Muestra'!$F$8:$F$42)-MIN(ROW('03.Muestra'!$D$8:$D$42))+1,""),ROW()-1272)),"")</f>
        <v>https://www.comunidad.madrid/hospital/clinicosancarlos/ciudadanos/consultas-externas</v>
      </c>
      <c r="D1275" s="130" t="s">
        <v>35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Donación</v>
      </c>
      <c r="C1276" s="114" t="str" cm="1">
        <f t="array" ref="C1276">IFERROR(INDEX('03.Muestra'!$F$8:$F$42,SMALL(IF("Página Web"='03.Muestra'!$D$8:$D$42,ROW('03.Muestra'!$F$8:$F$42)-MIN(ROW('03.Muestra'!$D$8:$D$42))+1,""),ROW()-1272)),"")</f>
        <v>https://www.comunidad.madrid/hospital/clinicosancarlos/ciudadanos/donacion-0</v>
      </c>
      <c r="D1276" s="130" t="s">
        <v>35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Profesionales</v>
      </c>
      <c r="C1277" s="114" t="str" cm="1">
        <f t="array" ref="C1277">IFERROR(INDEX('03.Muestra'!$F$8:$F$42,SMALL(IF("Página Web"='03.Muestra'!$D$8:$D$42,ROW('03.Muestra'!$F$8:$F$42)-MIN(ROW('03.Muestra'!$D$8:$D$42))+1,""),ROW()-1272)),"")</f>
        <v>https://www.comunidad.madrid/hospital/clinicosancarlos/profesionales</v>
      </c>
      <c r="D1277" s="130" t="s">
        <v>35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Docencia</v>
      </c>
      <c r="C1278" s="114" t="str" cm="1">
        <f t="array" ref="C1278">IFERROR(INDEX('03.Muestra'!$F$8:$F$42,SMALL(IF("Página Web"='03.Muestra'!$D$8:$D$42,ROW('03.Muestra'!$F$8:$F$42)-MIN(ROW('03.Muestra'!$D$8:$D$42))+1,""),ROW()-1272)),"")</f>
        <v>https://www.comunidad.madrid/hospital/clinicosancarlos/profesionales/docencia</v>
      </c>
      <c r="D1278" s="130" t="s">
        <v>35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Referencia</v>
      </c>
      <c r="C1279" s="114" t="str" cm="1">
        <f t="array" ref="C1279">IFERROR(INDEX('03.Muestra'!$F$8:$F$42,SMALL(IF("Página Web"='03.Muestra'!$D$8:$D$42,ROW('03.Muestra'!$F$8:$F$42)-MIN(ROW('03.Muestra'!$D$8:$D$42))+1,""),ROW()-1272)),"")</f>
        <v>https://www.comunidad.madrid/hospital/clinicosancarlos/profesionales/unidades-referencia-nacional-redes-europeas</v>
      </c>
      <c r="D1279" s="130" t="s">
        <v>35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Comunicación</v>
      </c>
      <c r="C1280" s="114" t="str" cm="1">
        <f t="array" ref="C1280">IFERROR(INDEX('03.Muestra'!$F$8:$F$42,SMALL(IF("Página Web"='03.Muestra'!$D$8:$D$42,ROW('03.Muestra'!$F$8:$F$42)-MIN(ROW('03.Muestra'!$D$8:$D$42))+1,""),ROW()-1272)),"")</f>
        <v>https://www.comunidad.madrid/hospital/clinicosancarlos/comunicacion</v>
      </c>
      <c r="D1280" s="130" t="s">
        <v>35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Videoteca</v>
      </c>
      <c r="C1281" s="114" t="str" cm="1">
        <f t="array" ref="C1281">IFERROR(INDEX('03.Muestra'!$F$8:$F$42,SMALL(IF("Página Web"='03.Muestra'!$D$8:$D$42,ROW('03.Muestra'!$F$8:$F$42)-MIN(ROW('03.Muestra'!$D$8:$D$42))+1,""),ROW()-1272)),"")</f>
        <v>https://www.comunidad.madrid/hospital/clinicosancarlos/comunicacion/videoteca</v>
      </c>
      <c r="D1281" s="130" t="s">
        <v>35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Noticias</v>
      </c>
      <c r="C1282" s="114" t="str" cm="1">
        <f t="array" ref="C1282">IFERROR(INDEX('03.Muestra'!$F$8:$F$42,SMALL(IF("Página Web"='03.Muestra'!$D$8:$D$42,ROW('03.Muestra'!$F$8:$F$42)-MIN(ROW('03.Muestra'!$D$8:$D$42))+1,""),ROW()-1272)),"")</f>
        <v>https://www.comunidad.madrid/hospital/clinicosancarlos/comunicacion/noticias</v>
      </c>
      <c r="D1282" s="130" t="s">
        <v>35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Nosotros</v>
      </c>
      <c r="C1283" s="114" t="str" cm="1">
        <f t="array" ref="C1283">IFERROR(INDEX('03.Muestra'!$F$8:$F$42,SMALL(IF("Página Web"='03.Muestra'!$D$8:$D$42,ROW('03.Muestra'!$F$8:$F$42)-MIN(ROW('03.Muestra'!$D$8:$D$42))+1,""),ROW()-1272)),"")</f>
        <v>https://www.comunidad.madrid/hospital/clinicosancarlos/nosotros</v>
      </c>
      <c r="D1283" s="130" t="s">
        <v>35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Gestión Ambiental</v>
      </c>
      <c r="C1284" s="114" t="str" cm="1">
        <f t="array" ref="C1284">IFERROR(INDEX('03.Muestra'!$F$8:$F$42,SMALL(IF("Página Web"='03.Muestra'!$D$8:$D$42,ROW('03.Muestra'!$F$8:$F$42)-MIN(ROW('03.Muestra'!$D$8:$D$42))+1,""),ROW()-1272)),"")</f>
        <v>https://www.comunidad.madrid/hospital/clinicosancarlos/nosotros/gestion-ambiental</v>
      </c>
      <c r="D1284" s="130" t="s">
        <v>35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Proveedores</v>
      </c>
      <c r="C1285" s="114" t="str" cm="1">
        <f t="array" ref="C1285">IFERROR(INDEX('03.Muestra'!$F$8:$F$42,SMALL(IF("Página Web"='03.Muestra'!$D$8:$D$42,ROW('03.Muestra'!$F$8:$F$42)-MIN(ROW('03.Muestra'!$D$8:$D$42))+1,""),ROW()-1272)),"")</f>
        <v>https://www.comunidad.madrid/hospital/clinicosancarlos/nosotros/proveedores-0</v>
      </c>
      <c r="D1285" s="130" t="s">
        <v>35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Aviso legal</v>
      </c>
      <c r="C1286" s="114" t="str" cm="1">
        <f t="array" ref="C1286">IFERROR(INDEX('03.Muestra'!$F$8:$F$42,SMALL(IF("Página Web"='03.Muestra'!$D$8:$D$42,ROW('03.Muestra'!$F$8:$F$42)-MIN(ROW('03.Muestra'!$D$8:$D$42))+1,""),ROW()-1272)),"")</f>
        <v>https://www.comunidad.madrid/hospital/clinicosancarlos/aviso-legal-privacidad</v>
      </c>
      <c r="D1286" s="130" t="s">
        <v>35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Mapa web</v>
      </c>
      <c r="C1287" s="114" t="str" cm="1">
        <f t="array" ref="C1287">IFERROR(INDEX('03.Muestra'!$F$8:$F$42,SMALL(IF("Página Web"='03.Muestra'!$D$8:$D$42,ROW('03.Muestra'!$F$8:$F$42)-MIN(ROW('03.Muestra'!$D$8:$D$42))+1,""),ROW()-1272)),"")</f>
        <v>https://www.comunidad.madrid/hospital/clinicosancarlos/sitemap</v>
      </c>
      <c r="D1287" s="130" t="s">
        <v>35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Accesibilidad</v>
      </c>
      <c r="C1288" s="114" t="str" cm="1">
        <f t="array" ref="C1288">IFERROR(INDEX('03.Muestra'!$F$8:$F$42,SMALL(IF("Página Web"='03.Muestra'!$D$8:$D$42,ROW('03.Muestra'!$F$8:$F$42)-MIN(ROW('03.Muestra'!$D$8:$D$42))+1,""),ROW()-1272)),"")</f>
        <v>https://www.comunidad.madrid/hospital/clinicosancarlos/declaracion-accesibilidad</v>
      </c>
      <c r="D1288" s="130" t="s">
        <v>35</v>
      </c>
      <c r="E1288" s="107" t="str">
        <f t="shared" si="66"/>
        <v/>
      </c>
      <c r="F1288" s="19"/>
      <c r="G1288" s="19"/>
      <c r="H1288" s="19"/>
      <c r="I1288" s="19"/>
      <c r="J1288" s="19"/>
      <c r="K1288" s="233"/>
      <c r="L1288" s="19"/>
    </row>
    <row r="1289" spans="1:12" ht="12" customHeight="1">
      <c r="A1289" s="219" t="str" cm="1">
        <f t="array" ref="A1289">IFERROR(INDEX('03.Muestra'!$B$8:$B$42,SMALL(IF("Página Web"='03.Muestra'!$D$8:$D$42,ROW('03.Muestra'!$B$8:$B$42)-MIN(ROW('03.Muestra'!$D$8:$D$42))+1,""),ROW()-1272)),"")</f>
        <v/>
      </c>
      <c r="B1289" s="114" t="str" cm="1">
        <f t="array" ref="B1289">IFERROR(INDEX('03.Muestra'!$C$8:$C$42,SMALL(IF("Página Web"='03.Muestra'!$D$8:$D$42,ROW('03.Muestra'!$C$8:$C$42)-MIN(ROW('03.Muestra'!$D$8:$D$42))+1,""),ROW()-1272)),"")</f>
        <v/>
      </c>
      <c r="C1289" s="114" t="str" cm="1">
        <f t="array" ref="C1289">IFERROR(INDEX('03.Muestra'!$F$8:$F$42,SMALL(IF("Página Web"='03.Muestra'!$D$8:$D$42,ROW('03.Muestra'!$F$8:$F$42)-MIN(ROW('03.Muestra'!$D$8:$D$42))+1,""),ROW()-1272)),"")</f>
        <v/>
      </c>
      <c r="D1289" s="130" t="str">
        <f t="shared" ref="D1289:D1307" si="67">IF(AND(B1289&lt;&gt;"",C1289&lt;&gt;""),"N/T","")</f>
        <v/>
      </c>
      <c r="E1289" s="107" t="str">
        <f t="shared" si="66"/>
        <v/>
      </c>
      <c r="F1289" s="19"/>
      <c r="G1289" s="19"/>
      <c r="H1289" s="19"/>
      <c r="I1289" s="19"/>
      <c r="J1289" s="19"/>
      <c r="K1289" s="233"/>
      <c r="L1289" s="19"/>
    </row>
    <row r="1290" spans="1:12" ht="12" customHeight="1">
      <c r="A1290" s="219" t="str" cm="1">
        <f t="array" ref="A1290">IFERROR(INDEX('03.Muestra'!$B$8:$B$42,SMALL(IF("Página Web"='03.Muestra'!$D$8:$D$42,ROW('03.Muestra'!$B$8:$B$42)-MIN(ROW('03.Muestra'!$D$8:$D$42))+1,""),ROW()-1272)),"")</f>
        <v/>
      </c>
      <c r="B1290" s="114" t="str" cm="1">
        <f t="array" ref="B1290">IFERROR(INDEX('03.Muestra'!$C$8:$C$42,SMALL(IF("Página Web"='03.Muestra'!$D$8:$D$42,ROW('03.Muestra'!$C$8:$C$42)-MIN(ROW('03.Muestra'!$D$8:$D$42))+1,""),ROW()-1272)),"")</f>
        <v/>
      </c>
      <c r="C1290" s="114" t="str" cm="1">
        <f t="array" ref="C1290">IFERROR(INDEX('03.Muestra'!$F$8:$F$42,SMALL(IF("Página Web"='03.Muestra'!$D$8:$D$42,ROW('03.Muestra'!$F$8:$F$42)-MIN(ROW('03.Muestra'!$D$8:$D$42))+1,""),ROW()-1272)),"")</f>
        <v/>
      </c>
      <c r="D1290" s="130" t="str">
        <f t="shared" si="67"/>
        <v/>
      </c>
      <c r="E1290" s="107" t="str">
        <f t="shared" si="66"/>
        <v/>
      </c>
      <c r="F1290" s="19"/>
      <c r="G1290" s="19"/>
      <c r="H1290" s="19"/>
      <c r="I1290" s="19"/>
      <c r="J1290" s="19"/>
      <c r="K1290" s="233"/>
      <c r="L1290" s="19"/>
    </row>
    <row r="1291" spans="1:12" ht="12" customHeight="1">
      <c r="A1291" s="219" t="str" cm="1">
        <f t="array" ref="A1291">IFERROR(INDEX('03.Muestra'!$B$8:$B$42,SMALL(IF("Página Web"='03.Muestra'!$D$8:$D$42,ROW('03.Muestra'!$B$8:$B$42)-MIN(ROW('03.Muestra'!$D$8:$D$42))+1,""),ROW()-1272)),"")</f>
        <v/>
      </c>
      <c r="B1291" s="114" t="str" cm="1">
        <f t="array" ref="B1291">IFERROR(INDEX('03.Muestra'!$C$8:$C$42,SMALL(IF("Página Web"='03.Muestra'!$D$8:$D$42,ROW('03.Muestra'!$C$8:$C$42)-MIN(ROW('03.Muestra'!$D$8:$D$42))+1,""),ROW()-1272)),"")</f>
        <v/>
      </c>
      <c r="C1291" s="114" t="str" cm="1">
        <f t="array" ref="C1291">IFERROR(INDEX('03.Muestra'!$F$8:$F$42,SMALL(IF("Página Web"='03.Muestra'!$D$8:$D$42,ROW('03.Muestra'!$F$8:$F$42)-MIN(ROW('03.Muestra'!$D$8:$D$42))+1,""),ROW()-1272)),"")</f>
        <v/>
      </c>
      <c r="D1291" s="130" t="str">
        <f t="shared" si="67"/>
        <v/>
      </c>
      <c r="E1291" s="107" t="str">
        <f t="shared" si="66"/>
        <v/>
      </c>
      <c r="F1291" s="19"/>
      <c r="G1291" s="19"/>
      <c r="H1291" s="19"/>
      <c r="I1291" s="19"/>
      <c r="J1291" s="19"/>
      <c r="K1291" s="233"/>
      <c r="L1291" s="19"/>
    </row>
    <row r="1292" spans="1:12" ht="12" customHeight="1">
      <c r="A1292" s="219" t="str" cm="1">
        <f t="array" ref="A1292">IFERROR(INDEX('03.Muestra'!$B$8:$B$42,SMALL(IF("Página Web"='03.Muestra'!$D$8:$D$42,ROW('03.Muestra'!$B$8:$B$42)-MIN(ROW('03.Muestra'!$D$8:$D$42))+1,""),ROW()-1272)),"")</f>
        <v/>
      </c>
      <c r="B1292" s="114" t="str" cm="1">
        <f t="array" ref="B1292">IFERROR(INDEX('03.Muestra'!$C$8:$C$42,SMALL(IF("Página Web"='03.Muestra'!$D$8:$D$42,ROW('03.Muestra'!$C$8:$C$42)-MIN(ROW('03.Muestra'!$D$8:$D$42))+1,""),ROW()-1272)),"")</f>
        <v/>
      </c>
      <c r="C1292" s="114" t="str" cm="1">
        <f t="array" ref="C1292">IFERROR(INDEX('03.Muestra'!$F$8:$F$42,SMALL(IF("Página Web"='03.Muestra'!$D$8:$D$42,ROW('03.Muestra'!$F$8:$F$42)-MIN(ROW('03.Muestra'!$D$8:$D$42))+1,""),ROW()-1272)),"")</f>
        <v/>
      </c>
      <c r="D1292" s="130" t="str">
        <f t="shared" si="67"/>
        <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si="67"/>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268</v>
      </c>
      <c r="B1310" s="24" t="s">
        <v>90</v>
      </c>
      <c r="C1310" s="25" t="s">
        <v>407</v>
      </c>
      <c r="D1310" s="26" t="s">
        <v>32</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https://www.comunidad.madrid/hospital/clinicosancarlos/</v>
      </c>
      <c r="D1311" s="130" t="s">
        <v>26</v>
      </c>
      <c r="E1311" s="107" t="str">
        <f t="shared" ref="E1311:E1345" si="68">IF(D1311&lt;&gt;"",IF(AND(B1311&lt;&gt;"",C1311&lt;&gt;""),"","ERR"),"")</f>
        <v/>
      </c>
      <c r="F1311" s="115" t="s">
        <v>33</v>
      </c>
      <c r="G1311" s="116" t="s">
        <v>37</v>
      </c>
      <c r="H1311" s="117" t="s">
        <v>35</v>
      </c>
      <c r="I1311" s="118" t="s">
        <v>28</v>
      </c>
      <c r="J1311" s="119" t="s">
        <v>26</v>
      </c>
      <c r="K1311" s="226" t="s">
        <v>474</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Ciudadanos</v>
      </c>
      <c r="C1312" s="114" t="str" cm="1">
        <f t="array" ref="C1312">IFERROR(INDEX('03.Muestra'!$F$8:$F$42,SMALL(IF("Página Web"='03.Muestra'!$D$8:$D$42,ROW('03.Muestra'!$F$8:$F$42)-MIN(ROW('03.Muestra'!$D$8:$D$42))+1,""),ROW()-1310)),"")</f>
        <v>https://www.comunidad.madrid/hospital/clinicosancarlos/ciudadanos</v>
      </c>
      <c r="D1312" s="130" t="s">
        <v>26</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16</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Consultas externas</v>
      </c>
      <c r="C1313" s="114" t="str" cm="1">
        <f t="array" ref="C1313">IFERROR(INDEX('03.Muestra'!$F$8:$F$42,SMALL(IF("Página Web"='03.Muestra'!$D$8:$D$42,ROW('03.Muestra'!$F$8:$F$42)-MIN(ROW('03.Muestra'!$D$8:$D$42))+1,""),ROW()-1310)),"")</f>
        <v>https://www.comunidad.madrid/hospital/clinicosancarlos/ciudadanos/consultas-externas</v>
      </c>
      <c r="D1313" s="130" t="s">
        <v>26</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Donación</v>
      </c>
      <c r="C1314" s="114" t="str" cm="1">
        <f t="array" ref="C1314">IFERROR(INDEX('03.Muestra'!$F$8:$F$42,SMALL(IF("Página Web"='03.Muestra'!$D$8:$D$42,ROW('03.Muestra'!$F$8:$F$42)-MIN(ROW('03.Muestra'!$D$8:$D$42))+1,""),ROW()-1310)),"")</f>
        <v>https://www.comunidad.madrid/hospital/clinicosancarlos/ciudadanos/donacion-0</v>
      </c>
      <c r="D1314" s="130" t="s">
        <v>26</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Profesionales</v>
      </c>
      <c r="C1315" s="114" t="str" cm="1">
        <f t="array" ref="C1315">IFERROR(INDEX('03.Muestra'!$F$8:$F$42,SMALL(IF("Página Web"='03.Muestra'!$D$8:$D$42,ROW('03.Muestra'!$F$8:$F$42)-MIN(ROW('03.Muestra'!$D$8:$D$42))+1,""),ROW()-1310)),"")</f>
        <v>https://www.comunidad.madrid/hospital/clinicosancarlos/profesionales</v>
      </c>
      <c r="D1315" s="130" t="s">
        <v>26</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Docencia</v>
      </c>
      <c r="C1316" s="114" t="str" cm="1">
        <f t="array" ref="C1316">IFERROR(INDEX('03.Muestra'!$F$8:$F$42,SMALL(IF("Página Web"='03.Muestra'!$D$8:$D$42,ROW('03.Muestra'!$F$8:$F$42)-MIN(ROW('03.Muestra'!$D$8:$D$42))+1,""),ROW()-1310)),"")</f>
        <v>https://www.comunidad.madrid/hospital/clinicosancarlos/profesionales/docencia</v>
      </c>
      <c r="D1316" s="130" t="s">
        <v>26</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Referencia</v>
      </c>
      <c r="C1317" s="114" t="str" cm="1">
        <f t="array" ref="C1317">IFERROR(INDEX('03.Muestra'!$F$8:$F$42,SMALL(IF("Página Web"='03.Muestra'!$D$8:$D$42,ROW('03.Muestra'!$F$8:$F$42)-MIN(ROW('03.Muestra'!$D$8:$D$42))+1,""),ROW()-1310)),"")</f>
        <v>https://www.comunidad.madrid/hospital/clinicosancarlos/profesionales/unidades-referencia-nacional-redes-europeas</v>
      </c>
      <c r="D1317" s="130" t="s">
        <v>26</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Comunicación</v>
      </c>
      <c r="C1318" s="114" t="str" cm="1">
        <f t="array" ref="C1318">IFERROR(INDEX('03.Muestra'!$F$8:$F$42,SMALL(IF("Página Web"='03.Muestra'!$D$8:$D$42,ROW('03.Muestra'!$F$8:$F$42)-MIN(ROW('03.Muestra'!$D$8:$D$42))+1,""),ROW()-1310)),"")</f>
        <v>https://www.comunidad.madrid/hospital/clinicosancarlos/comunicacion</v>
      </c>
      <c r="D1318" s="130" t="s">
        <v>26</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Videoteca</v>
      </c>
      <c r="C1319" s="114" t="str" cm="1">
        <f t="array" ref="C1319">IFERROR(INDEX('03.Muestra'!$F$8:$F$42,SMALL(IF("Página Web"='03.Muestra'!$D$8:$D$42,ROW('03.Muestra'!$F$8:$F$42)-MIN(ROW('03.Muestra'!$D$8:$D$42))+1,""),ROW()-1310)),"")</f>
        <v>https://www.comunidad.madrid/hospital/clinicosancarlos/comunicacion/videoteca</v>
      </c>
      <c r="D1319" s="130" t="s">
        <v>26</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Noticias</v>
      </c>
      <c r="C1320" s="114" t="str" cm="1">
        <f t="array" ref="C1320">IFERROR(INDEX('03.Muestra'!$F$8:$F$42,SMALL(IF("Página Web"='03.Muestra'!$D$8:$D$42,ROW('03.Muestra'!$F$8:$F$42)-MIN(ROW('03.Muestra'!$D$8:$D$42))+1,""),ROW()-1310)),"")</f>
        <v>https://www.comunidad.madrid/hospital/clinicosancarlos/comunicacion/noticias</v>
      </c>
      <c r="D1320" s="130" t="s">
        <v>26</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Nosotros</v>
      </c>
      <c r="C1321" s="114" t="str" cm="1">
        <f t="array" ref="C1321">IFERROR(INDEX('03.Muestra'!$F$8:$F$42,SMALL(IF("Página Web"='03.Muestra'!$D$8:$D$42,ROW('03.Muestra'!$F$8:$F$42)-MIN(ROW('03.Muestra'!$D$8:$D$42))+1,""),ROW()-1310)),"")</f>
        <v>https://www.comunidad.madrid/hospital/clinicosancarlos/nosotros</v>
      </c>
      <c r="D1321" s="130" t="s">
        <v>26</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Gestión Ambiental</v>
      </c>
      <c r="C1322" s="114" t="str" cm="1">
        <f t="array" ref="C1322">IFERROR(INDEX('03.Muestra'!$F$8:$F$42,SMALL(IF("Página Web"='03.Muestra'!$D$8:$D$42,ROW('03.Muestra'!$F$8:$F$42)-MIN(ROW('03.Muestra'!$D$8:$D$42))+1,""),ROW()-1310)),"")</f>
        <v>https://www.comunidad.madrid/hospital/clinicosancarlos/nosotros/gestion-ambiental</v>
      </c>
      <c r="D1322" s="130" t="s">
        <v>26</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Proveedores</v>
      </c>
      <c r="C1323" s="114" t="str" cm="1">
        <f t="array" ref="C1323">IFERROR(INDEX('03.Muestra'!$F$8:$F$42,SMALL(IF("Página Web"='03.Muestra'!$D$8:$D$42,ROW('03.Muestra'!$F$8:$F$42)-MIN(ROW('03.Muestra'!$D$8:$D$42))+1,""),ROW()-1310)),"")</f>
        <v>https://www.comunidad.madrid/hospital/clinicosancarlos/nosotros/proveedores-0</v>
      </c>
      <c r="D1323" s="130" t="s">
        <v>26</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Aviso legal</v>
      </c>
      <c r="C1324" s="114" t="str" cm="1">
        <f t="array" ref="C1324">IFERROR(INDEX('03.Muestra'!$F$8:$F$42,SMALL(IF("Página Web"='03.Muestra'!$D$8:$D$42,ROW('03.Muestra'!$F$8:$F$42)-MIN(ROW('03.Muestra'!$D$8:$D$42))+1,""),ROW()-1310)),"")</f>
        <v>https://www.comunidad.madrid/hospital/clinicosancarlos/aviso-legal-privacidad</v>
      </c>
      <c r="D1324" s="130" t="s">
        <v>26</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Mapa web</v>
      </c>
      <c r="C1325" s="114" t="str" cm="1">
        <f t="array" ref="C1325">IFERROR(INDEX('03.Muestra'!$F$8:$F$42,SMALL(IF("Página Web"='03.Muestra'!$D$8:$D$42,ROW('03.Muestra'!$F$8:$F$42)-MIN(ROW('03.Muestra'!$D$8:$D$42))+1,""),ROW()-1310)),"")</f>
        <v>https://www.comunidad.madrid/hospital/clinicosancarlos/sitemap</v>
      </c>
      <c r="D1325" s="130" t="s">
        <v>26</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Accesibilidad</v>
      </c>
      <c r="C1326" s="114" t="str" cm="1">
        <f t="array" ref="C1326">IFERROR(INDEX('03.Muestra'!$F$8:$F$42,SMALL(IF("Página Web"='03.Muestra'!$D$8:$D$42,ROW('03.Muestra'!$F$8:$F$42)-MIN(ROW('03.Muestra'!$D$8:$D$42))+1,""),ROW()-1310)),"")</f>
        <v>https://www.comunidad.madrid/hospital/clinicosancarlos/declaracion-accesibilidad</v>
      </c>
      <c r="D1326" s="130" t="s">
        <v>26</v>
      </c>
      <c r="E1326" s="107" t="str">
        <f t="shared" si="68"/>
        <v/>
      </c>
      <c r="F1326" s="19"/>
      <c r="G1326" s="19"/>
      <c r="H1326" s="19"/>
      <c r="I1326" s="19"/>
      <c r="J1326" s="19"/>
      <c r="K1326" s="233"/>
      <c r="L1326" s="19"/>
    </row>
    <row r="1327" spans="1:12" ht="12" customHeight="1">
      <c r="A1327" s="219" t="str" cm="1">
        <f t="array" ref="A1327">IFERROR(INDEX('03.Muestra'!$B$8:$B$42,SMALL(IF("Página Web"='03.Muestra'!$D$8:$D$42,ROW('03.Muestra'!$B$8:$B$42)-MIN(ROW('03.Muestra'!$D$8:$D$42))+1,""),ROW()-1310)),"")</f>
        <v/>
      </c>
      <c r="B1327" s="114" t="str" cm="1">
        <f t="array" ref="B1327">IFERROR(INDEX('03.Muestra'!$C$8:$C$42,SMALL(IF("Página Web"='03.Muestra'!$D$8:$D$42,ROW('03.Muestra'!$C$8:$C$42)-MIN(ROW('03.Muestra'!$D$8:$D$42))+1,""),ROW()-1310)),"")</f>
        <v/>
      </c>
      <c r="C1327" s="114" t="str" cm="1">
        <f t="array" ref="C1327">IFERROR(INDEX('03.Muestra'!$F$8:$F$42,SMALL(IF("Página Web"='03.Muestra'!$D$8:$D$42,ROW('03.Muestra'!$F$8:$F$42)-MIN(ROW('03.Muestra'!$D$8:$D$42))+1,""),ROW()-1310)),"")</f>
        <v/>
      </c>
      <c r="D1327" s="130" t="str">
        <f t="shared" ref="D1327:D1345" si="69">IF(AND(B1327&lt;&gt;"",C1327&lt;&gt;""),"N/T","")</f>
        <v/>
      </c>
      <c r="E1327" s="107" t="str">
        <f t="shared" si="68"/>
        <v/>
      </c>
      <c r="F1327" s="19"/>
      <c r="G1327" s="19"/>
      <c r="H1327" s="19"/>
      <c r="I1327" s="19"/>
      <c r="J1327" s="19"/>
      <c r="K1327" s="233"/>
      <c r="L1327" s="19"/>
    </row>
    <row r="1328" spans="1:12" ht="12" customHeight="1">
      <c r="A1328" s="219" t="str" cm="1">
        <f t="array" ref="A1328">IFERROR(INDEX('03.Muestra'!$B$8:$B$42,SMALL(IF("Página Web"='03.Muestra'!$D$8:$D$42,ROW('03.Muestra'!$B$8:$B$42)-MIN(ROW('03.Muestra'!$D$8:$D$42))+1,""),ROW()-1310)),"")</f>
        <v/>
      </c>
      <c r="B1328" s="114" t="str" cm="1">
        <f t="array" ref="B1328">IFERROR(INDEX('03.Muestra'!$C$8:$C$42,SMALL(IF("Página Web"='03.Muestra'!$D$8:$D$42,ROW('03.Muestra'!$C$8:$C$42)-MIN(ROW('03.Muestra'!$D$8:$D$42))+1,""),ROW()-1310)),"")</f>
        <v/>
      </c>
      <c r="C1328" s="114" t="str" cm="1">
        <f t="array" ref="C1328">IFERROR(INDEX('03.Muestra'!$F$8:$F$42,SMALL(IF("Página Web"='03.Muestra'!$D$8:$D$42,ROW('03.Muestra'!$F$8:$F$42)-MIN(ROW('03.Muestra'!$D$8:$D$42))+1,""),ROW()-1310)),"")</f>
        <v/>
      </c>
      <c r="D1328" s="130" t="str">
        <f t="shared" si="69"/>
        <v/>
      </c>
      <c r="E1328" s="107" t="str">
        <f t="shared" si="68"/>
        <v/>
      </c>
      <c r="F1328" s="19"/>
      <c r="G1328" s="19"/>
      <c r="H1328" s="19"/>
      <c r="I1328" s="19"/>
      <c r="J1328" s="19"/>
      <c r="K1328" s="233"/>
      <c r="L1328" s="19"/>
    </row>
    <row r="1329" spans="1:12" ht="12" customHeight="1">
      <c r="A1329" s="219" t="str" cm="1">
        <f t="array" ref="A1329">IFERROR(INDEX('03.Muestra'!$B$8:$B$42,SMALL(IF("Página Web"='03.Muestra'!$D$8:$D$42,ROW('03.Muestra'!$B$8:$B$42)-MIN(ROW('03.Muestra'!$D$8:$D$42))+1,""),ROW()-1310)),"")</f>
        <v/>
      </c>
      <c r="B1329" s="114" t="str" cm="1">
        <f t="array" ref="B1329">IFERROR(INDEX('03.Muestra'!$C$8:$C$42,SMALL(IF("Página Web"='03.Muestra'!$D$8:$D$42,ROW('03.Muestra'!$C$8:$C$42)-MIN(ROW('03.Muestra'!$D$8:$D$42))+1,""),ROW()-1310)),"")</f>
        <v/>
      </c>
      <c r="C1329" s="114" t="str" cm="1">
        <f t="array" ref="C1329">IFERROR(INDEX('03.Muestra'!$F$8:$F$42,SMALL(IF("Página Web"='03.Muestra'!$D$8:$D$42,ROW('03.Muestra'!$F$8:$F$42)-MIN(ROW('03.Muestra'!$D$8:$D$42))+1,""),ROW()-1310)),"")</f>
        <v/>
      </c>
      <c r="D1329" s="130" t="str">
        <f t="shared" si="69"/>
        <v/>
      </c>
      <c r="E1329" s="107" t="str">
        <f t="shared" si="68"/>
        <v/>
      </c>
      <c r="F1329" s="19"/>
      <c r="G1329" s="19"/>
      <c r="H1329" s="19"/>
      <c r="I1329" s="19"/>
      <c r="J1329" s="19"/>
      <c r="K1329" s="233"/>
      <c r="L1329" s="19"/>
    </row>
    <row r="1330" spans="1:12" ht="12" customHeight="1">
      <c r="A1330" s="219" t="str" cm="1">
        <f t="array" ref="A1330">IFERROR(INDEX('03.Muestra'!$B$8:$B$42,SMALL(IF("Página Web"='03.Muestra'!$D$8:$D$42,ROW('03.Muestra'!$B$8:$B$42)-MIN(ROW('03.Muestra'!$D$8:$D$42))+1,""),ROW()-1310)),"")</f>
        <v/>
      </c>
      <c r="B1330" s="114" t="str" cm="1">
        <f t="array" ref="B1330">IFERROR(INDEX('03.Muestra'!$C$8:$C$42,SMALL(IF("Página Web"='03.Muestra'!$D$8:$D$42,ROW('03.Muestra'!$C$8:$C$42)-MIN(ROW('03.Muestra'!$D$8:$D$42))+1,""),ROW()-1310)),"")</f>
        <v/>
      </c>
      <c r="C1330" s="114" t="str" cm="1">
        <f t="array" ref="C1330">IFERROR(INDEX('03.Muestra'!$F$8:$F$42,SMALL(IF("Página Web"='03.Muestra'!$D$8:$D$42,ROW('03.Muestra'!$F$8:$F$42)-MIN(ROW('03.Muestra'!$D$8:$D$42))+1,""),ROW()-1310)),"")</f>
        <v/>
      </c>
      <c r="D1330" s="130" t="str">
        <f t="shared" si="69"/>
        <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si="69"/>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268</v>
      </c>
      <c r="B1348" s="24" t="s">
        <v>90</v>
      </c>
      <c r="C1348" s="25" t="s">
        <v>408</v>
      </c>
      <c r="D1348" s="26" t="s">
        <v>32</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https://www.comunidad.madrid/hospital/clinicosancarlos/</v>
      </c>
      <c r="D1349" s="130" t="s">
        <v>35</v>
      </c>
      <c r="E1349" s="107" t="str">
        <f t="shared" ref="E1349:E1383" si="70">IF(D1349&lt;&gt;"",IF(AND(B1349&lt;&gt;"",C1349&lt;&gt;""),"","ERR"),"")</f>
        <v/>
      </c>
      <c r="F1349" s="115" t="s">
        <v>33</v>
      </c>
      <c r="G1349" s="116" t="s">
        <v>37</v>
      </c>
      <c r="H1349" s="117" t="s">
        <v>35</v>
      </c>
      <c r="I1349" s="118" t="s">
        <v>28</v>
      </c>
      <c r="J1349" s="119" t="s">
        <v>26</v>
      </c>
      <c r="K1349" s="226" t="s">
        <v>474</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Ciudadanos</v>
      </c>
      <c r="C1350" s="114" t="str" cm="1">
        <f t="array" ref="C1350">IFERROR(INDEX('03.Muestra'!$F$8:$F$42,SMALL(IF("Página Web"='03.Muestra'!$D$8:$D$42,ROW('03.Muestra'!$F$8:$F$42)-MIN(ROW('03.Muestra'!$D$8:$D$42))+1,""),ROW()-1348)),"")</f>
        <v>https://www.comunidad.madrid/hospital/clinicosancarlos/ciudadanos</v>
      </c>
      <c r="D1350" s="130" t="s">
        <v>35</v>
      </c>
      <c r="E1350" s="107" t="str">
        <f t="shared" si="70"/>
        <v/>
      </c>
      <c r="F1350" s="120">
        <f ca="1">COUNTIF($D1349:INDIRECT("$D" &amp;  SUM(ROW()-1,'03.Muestra'!$D$45)-1),F1349)</f>
        <v>0</v>
      </c>
      <c r="G1350" s="120">
        <f ca="1">COUNTIF($D1349:INDIRECT("$D" &amp;  SUM(ROW()-1,'03.Muestra'!$D$45)-1),G1349)</f>
        <v>0</v>
      </c>
      <c r="H1350" s="120">
        <f ca="1">COUNTIF($D1349:INDIRECT("$D" &amp;  SUM(ROW()-1,'03.Muestra'!$D$45)-1),H1349)</f>
        <v>16</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Consultas externas</v>
      </c>
      <c r="C1351" s="114" t="str" cm="1">
        <f t="array" ref="C1351">IFERROR(INDEX('03.Muestra'!$F$8:$F$42,SMALL(IF("Página Web"='03.Muestra'!$D$8:$D$42,ROW('03.Muestra'!$F$8:$F$42)-MIN(ROW('03.Muestra'!$D$8:$D$42))+1,""),ROW()-1348)),"")</f>
        <v>https://www.comunidad.madrid/hospital/clinicosancarlos/ciudadanos/consultas-externas</v>
      </c>
      <c r="D1351" s="130" t="s">
        <v>35</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Donación</v>
      </c>
      <c r="C1352" s="114" t="str" cm="1">
        <f t="array" ref="C1352">IFERROR(INDEX('03.Muestra'!$F$8:$F$42,SMALL(IF("Página Web"='03.Muestra'!$D$8:$D$42,ROW('03.Muestra'!$F$8:$F$42)-MIN(ROW('03.Muestra'!$D$8:$D$42))+1,""),ROW()-1348)),"")</f>
        <v>https://www.comunidad.madrid/hospital/clinicosancarlos/ciudadanos/donacion-0</v>
      </c>
      <c r="D1352" s="130" t="s">
        <v>35</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Profesionales</v>
      </c>
      <c r="C1353" s="114" t="str" cm="1">
        <f t="array" ref="C1353">IFERROR(INDEX('03.Muestra'!$F$8:$F$42,SMALL(IF("Página Web"='03.Muestra'!$D$8:$D$42,ROW('03.Muestra'!$F$8:$F$42)-MIN(ROW('03.Muestra'!$D$8:$D$42))+1,""),ROW()-1348)),"")</f>
        <v>https://www.comunidad.madrid/hospital/clinicosancarlos/profesionales</v>
      </c>
      <c r="D1353" s="130" t="s">
        <v>35</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Docencia</v>
      </c>
      <c r="C1354" s="114" t="str" cm="1">
        <f t="array" ref="C1354">IFERROR(INDEX('03.Muestra'!$F$8:$F$42,SMALL(IF("Página Web"='03.Muestra'!$D$8:$D$42,ROW('03.Muestra'!$F$8:$F$42)-MIN(ROW('03.Muestra'!$D$8:$D$42))+1,""),ROW()-1348)),"")</f>
        <v>https://www.comunidad.madrid/hospital/clinicosancarlos/profesionales/docencia</v>
      </c>
      <c r="D1354" s="130" t="s">
        <v>35</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Referencia</v>
      </c>
      <c r="C1355" s="114" t="str" cm="1">
        <f t="array" ref="C1355">IFERROR(INDEX('03.Muestra'!$F$8:$F$42,SMALL(IF("Página Web"='03.Muestra'!$D$8:$D$42,ROW('03.Muestra'!$F$8:$F$42)-MIN(ROW('03.Muestra'!$D$8:$D$42))+1,""),ROW()-1348)),"")</f>
        <v>https://www.comunidad.madrid/hospital/clinicosancarlos/profesionales/unidades-referencia-nacional-redes-europeas</v>
      </c>
      <c r="D1355" s="130" t="s">
        <v>35</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Comunicación</v>
      </c>
      <c r="C1356" s="114" t="str" cm="1">
        <f t="array" ref="C1356">IFERROR(INDEX('03.Muestra'!$F$8:$F$42,SMALL(IF("Página Web"='03.Muestra'!$D$8:$D$42,ROW('03.Muestra'!$F$8:$F$42)-MIN(ROW('03.Muestra'!$D$8:$D$42))+1,""),ROW()-1348)),"")</f>
        <v>https://www.comunidad.madrid/hospital/clinicosancarlos/comunicacion</v>
      </c>
      <c r="D1356" s="130" t="s">
        <v>35</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Videoteca</v>
      </c>
      <c r="C1357" s="114" t="str" cm="1">
        <f t="array" ref="C1357">IFERROR(INDEX('03.Muestra'!$F$8:$F$42,SMALL(IF("Página Web"='03.Muestra'!$D$8:$D$42,ROW('03.Muestra'!$F$8:$F$42)-MIN(ROW('03.Muestra'!$D$8:$D$42))+1,""),ROW()-1348)),"")</f>
        <v>https://www.comunidad.madrid/hospital/clinicosancarlos/comunicacion/videoteca</v>
      </c>
      <c r="D1357" s="130" t="s">
        <v>35</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Noticias</v>
      </c>
      <c r="C1358" s="114" t="str" cm="1">
        <f t="array" ref="C1358">IFERROR(INDEX('03.Muestra'!$F$8:$F$42,SMALL(IF("Página Web"='03.Muestra'!$D$8:$D$42,ROW('03.Muestra'!$F$8:$F$42)-MIN(ROW('03.Muestra'!$D$8:$D$42))+1,""),ROW()-1348)),"")</f>
        <v>https://www.comunidad.madrid/hospital/clinicosancarlos/comunicacion/noticias</v>
      </c>
      <c r="D1358" s="130" t="s">
        <v>35</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Nosotros</v>
      </c>
      <c r="C1359" s="114" t="str" cm="1">
        <f t="array" ref="C1359">IFERROR(INDEX('03.Muestra'!$F$8:$F$42,SMALL(IF("Página Web"='03.Muestra'!$D$8:$D$42,ROW('03.Muestra'!$F$8:$F$42)-MIN(ROW('03.Muestra'!$D$8:$D$42))+1,""),ROW()-1348)),"")</f>
        <v>https://www.comunidad.madrid/hospital/clinicosancarlos/nosotros</v>
      </c>
      <c r="D1359" s="130" t="s">
        <v>35</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Gestión Ambiental</v>
      </c>
      <c r="C1360" s="114" t="str" cm="1">
        <f t="array" ref="C1360">IFERROR(INDEX('03.Muestra'!$F$8:$F$42,SMALL(IF("Página Web"='03.Muestra'!$D$8:$D$42,ROW('03.Muestra'!$F$8:$F$42)-MIN(ROW('03.Muestra'!$D$8:$D$42))+1,""),ROW()-1348)),"")</f>
        <v>https://www.comunidad.madrid/hospital/clinicosancarlos/nosotros/gestion-ambiental</v>
      </c>
      <c r="D1360" s="130" t="s">
        <v>35</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Proveedores</v>
      </c>
      <c r="C1361" s="114" t="str" cm="1">
        <f t="array" ref="C1361">IFERROR(INDEX('03.Muestra'!$F$8:$F$42,SMALL(IF("Página Web"='03.Muestra'!$D$8:$D$42,ROW('03.Muestra'!$F$8:$F$42)-MIN(ROW('03.Muestra'!$D$8:$D$42))+1,""),ROW()-1348)),"")</f>
        <v>https://www.comunidad.madrid/hospital/clinicosancarlos/nosotros/proveedores-0</v>
      </c>
      <c r="D1361" s="130" t="s">
        <v>35</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Aviso legal</v>
      </c>
      <c r="C1362" s="114" t="str" cm="1">
        <f t="array" ref="C1362">IFERROR(INDEX('03.Muestra'!$F$8:$F$42,SMALL(IF("Página Web"='03.Muestra'!$D$8:$D$42,ROW('03.Muestra'!$F$8:$F$42)-MIN(ROW('03.Muestra'!$D$8:$D$42))+1,""),ROW()-1348)),"")</f>
        <v>https://www.comunidad.madrid/hospital/clinicosancarlos/aviso-legal-privacidad</v>
      </c>
      <c r="D1362" s="130" t="s">
        <v>35</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Mapa web</v>
      </c>
      <c r="C1363" s="114" t="str" cm="1">
        <f t="array" ref="C1363">IFERROR(INDEX('03.Muestra'!$F$8:$F$42,SMALL(IF("Página Web"='03.Muestra'!$D$8:$D$42,ROW('03.Muestra'!$F$8:$F$42)-MIN(ROW('03.Muestra'!$D$8:$D$42))+1,""),ROW()-1348)),"")</f>
        <v>https://www.comunidad.madrid/hospital/clinicosancarlos/sitemap</v>
      </c>
      <c r="D1363" s="130" t="s">
        <v>35</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Accesibilidad</v>
      </c>
      <c r="C1364" s="114" t="str" cm="1">
        <f t="array" ref="C1364">IFERROR(INDEX('03.Muestra'!$F$8:$F$42,SMALL(IF("Página Web"='03.Muestra'!$D$8:$D$42,ROW('03.Muestra'!$F$8:$F$42)-MIN(ROW('03.Muestra'!$D$8:$D$42))+1,""),ROW()-1348)),"")</f>
        <v>https://www.comunidad.madrid/hospital/clinicosancarlos/declaracion-accesibilidad</v>
      </c>
      <c r="D1364" s="130" t="s">
        <v>35</v>
      </c>
      <c r="E1364" s="107" t="str">
        <f t="shared" si="70"/>
        <v/>
      </c>
      <c r="F1364" s="19"/>
      <c r="G1364" s="19"/>
      <c r="H1364" s="19"/>
      <c r="I1364" s="19"/>
      <c r="J1364" s="19"/>
      <c r="K1364" s="233"/>
      <c r="L1364" s="19"/>
    </row>
    <row r="1365" spans="1:12" ht="12" customHeight="1">
      <c r="A1365" s="219" t="str" cm="1">
        <f t="array" ref="A1365">IFERROR(INDEX('03.Muestra'!$B$8:$B$42,SMALL(IF("Página Web"='03.Muestra'!$D$8:$D$42,ROW('03.Muestra'!$B$8:$B$42)-MIN(ROW('03.Muestra'!$D$8:$D$42))+1,""),ROW()-1348)),"")</f>
        <v/>
      </c>
      <c r="B1365" s="114" t="str" cm="1">
        <f t="array" ref="B1365">IFERROR(INDEX('03.Muestra'!$C$8:$C$42,SMALL(IF("Página Web"='03.Muestra'!$D$8:$D$42,ROW('03.Muestra'!$C$8:$C$42)-MIN(ROW('03.Muestra'!$D$8:$D$42))+1,""),ROW()-1348)),"")</f>
        <v/>
      </c>
      <c r="C1365" s="114" t="str" cm="1">
        <f t="array" ref="C1365">IFERROR(INDEX('03.Muestra'!$F$8:$F$42,SMALL(IF("Página Web"='03.Muestra'!$D$8:$D$42,ROW('03.Muestra'!$F$8:$F$42)-MIN(ROW('03.Muestra'!$D$8:$D$42))+1,""),ROW()-1348)),"")</f>
        <v/>
      </c>
      <c r="D1365" s="130" t="str">
        <f t="shared" ref="D1365:D1383" si="71">IF(AND(B1365&lt;&gt;"",C1365&lt;&gt;""),"N/T","")</f>
        <v/>
      </c>
      <c r="E1365" s="107" t="str">
        <f t="shared" si="70"/>
        <v/>
      </c>
      <c r="F1365" s="19"/>
      <c r="G1365" s="19"/>
      <c r="H1365" s="19"/>
      <c r="I1365" s="19"/>
      <c r="J1365" s="19"/>
      <c r="K1365" s="233"/>
      <c r="L1365" s="19"/>
    </row>
    <row r="1366" spans="1:12" ht="12" customHeight="1">
      <c r="A1366" s="219" t="str" cm="1">
        <f t="array" ref="A1366">IFERROR(INDEX('03.Muestra'!$B$8:$B$42,SMALL(IF("Página Web"='03.Muestra'!$D$8:$D$42,ROW('03.Muestra'!$B$8:$B$42)-MIN(ROW('03.Muestra'!$D$8:$D$42))+1,""),ROW()-1348)),"")</f>
        <v/>
      </c>
      <c r="B1366" s="114" t="str" cm="1">
        <f t="array" ref="B1366">IFERROR(INDEX('03.Muestra'!$C$8:$C$42,SMALL(IF("Página Web"='03.Muestra'!$D$8:$D$42,ROW('03.Muestra'!$C$8:$C$42)-MIN(ROW('03.Muestra'!$D$8:$D$42))+1,""),ROW()-1348)),"")</f>
        <v/>
      </c>
      <c r="C1366" s="114" t="str" cm="1">
        <f t="array" ref="C1366">IFERROR(INDEX('03.Muestra'!$F$8:$F$42,SMALL(IF("Página Web"='03.Muestra'!$D$8:$D$42,ROW('03.Muestra'!$F$8:$F$42)-MIN(ROW('03.Muestra'!$D$8:$D$42))+1,""),ROW()-1348)),"")</f>
        <v/>
      </c>
      <c r="D1366" s="130" t="str">
        <f t="shared" si="71"/>
        <v/>
      </c>
      <c r="E1366" s="107" t="str">
        <f t="shared" si="70"/>
        <v/>
      </c>
      <c r="F1366" s="19"/>
      <c r="G1366" s="19"/>
      <c r="H1366" s="19"/>
      <c r="I1366" s="19"/>
      <c r="J1366" s="19"/>
      <c r="K1366" s="233"/>
      <c r="L1366" s="19"/>
    </row>
    <row r="1367" spans="1:12" ht="12" customHeight="1">
      <c r="A1367" s="219" t="str" cm="1">
        <f t="array" ref="A1367">IFERROR(INDEX('03.Muestra'!$B$8:$B$42,SMALL(IF("Página Web"='03.Muestra'!$D$8:$D$42,ROW('03.Muestra'!$B$8:$B$42)-MIN(ROW('03.Muestra'!$D$8:$D$42))+1,""),ROW()-1348)),"")</f>
        <v/>
      </c>
      <c r="B1367" s="114" t="str" cm="1">
        <f t="array" ref="B1367">IFERROR(INDEX('03.Muestra'!$C$8:$C$42,SMALL(IF("Página Web"='03.Muestra'!$D$8:$D$42,ROW('03.Muestra'!$C$8:$C$42)-MIN(ROW('03.Muestra'!$D$8:$D$42))+1,""),ROW()-1348)),"")</f>
        <v/>
      </c>
      <c r="C1367" s="114" t="str" cm="1">
        <f t="array" ref="C1367">IFERROR(INDEX('03.Muestra'!$F$8:$F$42,SMALL(IF("Página Web"='03.Muestra'!$D$8:$D$42,ROW('03.Muestra'!$F$8:$F$42)-MIN(ROW('03.Muestra'!$D$8:$D$42))+1,""),ROW()-1348)),"")</f>
        <v/>
      </c>
      <c r="D1367" s="130" t="str">
        <f t="shared" si="71"/>
        <v/>
      </c>
      <c r="E1367" s="107" t="str">
        <f t="shared" si="70"/>
        <v/>
      </c>
      <c r="F1367" s="19"/>
      <c r="G1367" s="19"/>
      <c r="H1367" s="19"/>
      <c r="I1367" s="19"/>
      <c r="J1367" s="19"/>
      <c r="K1367" s="233"/>
      <c r="L1367" s="19"/>
    </row>
    <row r="1368" spans="1:12" ht="12" customHeight="1">
      <c r="A1368" s="219" t="str" cm="1">
        <f t="array" ref="A1368">IFERROR(INDEX('03.Muestra'!$B$8:$B$42,SMALL(IF("Página Web"='03.Muestra'!$D$8:$D$42,ROW('03.Muestra'!$B$8:$B$42)-MIN(ROW('03.Muestra'!$D$8:$D$42))+1,""),ROW()-1348)),"")</f>
        <v/>
      </c>
      <c r="B1368" s="114" t="str" cm="1">
        <f t="array" ref="B1368">IFERROR(INDEX('03.Muestra'!$C$8:$C$42,SMALL(IF("Página Web"='03.Muestra'!$D$8:$D$42,ROW('03.Muestra'!$C$8:$C$42)-MIN(ROW('03.Muestra'!$D$8:$D$42))+1,""),ROW()-1348)),"")</f>
        <v/>
      </c>
      <c r="C1368" s="114" t="str" cm="1">
        <f t="array" ref="C1368">IFERROR(INDEX('03.Muestra'!$F$8:$F$42,SMALL(IF("Página Web"='03.Muestra'!$D$8:$D$42,ROW('03.Muestra'!$F$8:$F$42)-MIN(ROW('03.Muestra'!$D$8:$D$42))+1,""),ROW()-1348)),"")</f>
        <v/>
      </c>
      <c r="D1368" s="130" t="str">
        <f t="shared" si="71"/>
        <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si="71"/>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268</v>
      </c>
      <c r="B1386" s="24" t="s">
        <v>90</v>
      </c>
      <c r="C1386" s="25" t="s">
        <v>409</v>
      </c>
      <c r="D1386" s="26" t="s">
        <v>32</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https://www.comunidad.madrid/hospital/clinicosancarlos/</v>
      </c>
      <c r="D1387" s="130" t="s">
        <v>28</v>
      </c>
      <c r="E1387" s="107" t="str">
        <f t="shared" ref="E1387:E1421" si="72">IF(D1387&lt;&gt;"",IF(AND(B1387&lt;&gt;"",C1387&lt;&gt;""),"","ERR"),"")</f>
        <v/>
      </c>
      <c r="F1387" s="115" t="s">
        <v>33</v>
      </c>
      <c r="G1387" s="116" t="s">
        <v>37</v>
      </c>
      <c r="H1387" s="117" t="s">
        <v>35</v>
      </c>
      <c r="I1387" s="118" t="s">
        <v>28</v>
      </c>
      <c r="J1387" s="119" t="s">
        <v>26</v>
      </c>
      <c r="K1387" s="226" t="s">
        <v>474</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Ciudadanos</v>
      </c>
      <c r="C1388" s="114" t="str" cm="1">
        <f t="array" ref="C1388">IFERROR(INDEX('03.Muestra'!$F$8:$F$42,SMALL(IF("Página Web"='03.Muestra'!$D$8:$D$42,ROW('03.Muestra'!$F$8:$F$42)-MIN(ROW('03.Muestra'!$D$8:$D$42))+1,""),ROW()-1386)),"")</f>
        <v>https://www.comunidad.madrid/hospital/clinicosancarlos/ciudadanos</v>
      </c>
      <c r="D1388" s="130" t="s">
        <v>28</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16</v>
      </c>
      <c r="J1388" s="120">
        <f ca="1">COUNTIF($D1387:INDIRECT("$D" &amp;  SUM(ROW()-1,'03.Muestra'!$D$45)-1),J1387)</f>
        <v>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Consultas externas</v>
      </c>
      <c r="C1389" s="114" t="str" cm="1">
        <f t="array" ref="C1389">IFERROR(INDEX('03.Muestra'!$F$8:$F$42,SMALL(IF("Página Web"='03.Muestra'!$D$8:$D$42,ROW('03.Muestra'!$F$8:$F$42)-MIN(ROW('03.Muestra'!$D$8:$D$42))+1,""),ROW()-1386)),"")</f>
        <v>https://www.comunidad.madrid/hospital/clinicosancarlos/ciudadanos/consultas-externas</v>
      </c>
      <c r="D1389" s="130" t="s">
        <v>28</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Donación</v>
      </c>
      <c r="C1390" s="114" t="str" cm="1">
        <f t="array" ref="C1390">IFERROR(INDEX('03.Muestra'!$F$8:$F$42,SMALL(IF("Página Web"='03.Muestra'!$D$8:$D$42,ROW('03.Muestra'!$F$8:$F$42)-MIN(ROW('03.Muestra'!$D$8:$D$42))+1,""),ROW()-1386)),"")</f>
        <v>https://www.comunidad.madrid/hospital/clinicosancarlos/ciudadanos/donacion-0</v>
      </c>
      <c r="D1390" s="130" t="s">
        <v>28</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Profesionales</v>
      </c>
      <c r="C1391" s="114" t="str" cm="1">
        <f t="array" ref="C1391">IFERROR(INDEX('03.Muestra'!$F$8:$F$42,SMALL(IF("Página Web"='03.Muestra'!$D$8:$D$42,ROW('03.Muestra'!$F$8:$F$42)-MIN(ROW('03.Muestra'!$D$8:$D$42))+1,""),ROW()-1386)),"")</f>
        <v>https://www.comunidad.madrid/hospital/clinicosancarlos/profesionales</v>
      </c>
      <c r="D1391" s="130" t="s">
        <v>28</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Docencia</v>
      </c>
      <c r="C1392" s="114" t="str" cm="1">
        <f t="array" ref="C1392">IFERROR(INDEX('03.Muestra'!$F$8:$F$42,SMALL(IF("Página Web"='03.Muestra'!$D$8:$D$42,ROW('03.Muestra'!$F$8:$F$42)-MIN(ROW('03.Muestra'!$D$8:$D$42))+1,""),ROW()-1386)),"")</f>
        <v>https://www.comunidad.madrid/hospital/clinicosancarlos/profesionales/docencia</v>
      </c>
      <c r="D1392" s="130" t="s">
        <v>28</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Referencia</v>
      </c>
      <c r="C1393" s="114" t="str" cm="1">
        <f t="array" ref="C1393">IFERROR(INDEX('03.Muestra'!$F$8:$F$42,SMALL(IF("Página Web"='03.Muestra'!$D$8:$D$42,ROW('03.Muestra'!$F$8:$F$42)-MIN(ROW('03.Muestra'!$D$8:$D$42))+1,""),ROW()-1386)),"")</f>
        <v>https://www.comunidad.madrid/hospital/clinicosancarlos/profesionales/unidades-referencia-nacional-redes-europeas</v>
      </c>
      <c r="D1393" s="130" t="s">
        <v>28</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Comunicación</v>
      </c>
      <c r="C1394" s="114" t="str" cm="1">
        <f t="array" ref="C1394">IFERROR(INDEX('03.Muestra'!$F$8:$F$42,SMALL(IF("Página Web"='03.Muestra'!$D$8:$D$42,ROW('03.Muestra'!$F$8:$F$42)-MIN(ROW('03.Muestra'!$D$8:$D$42))+1,""),ROW()-1386)),"")</f>
        <v>https://www.comunidad.madrid/hospital/clinicosancarlos/comunicacion</v>
      </c>
      <c r="D1394" s="130" t="s">
        <v>28</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Videoteca</v>
      </c>
      <c r="C1395" s="114" t="str" cm="1">
        <f t="array" ref="C1395">IFERROR(INDEX('03.Muestra'!$F$8:$F$42,SMALL(IF("Página Web"='03.Muestra'!$D$8:$D$42,ROW('03.Muestra'!$F$8:$F$42)-MIN(ROW('03.Muestra'!$D$8:$D$42))+1,""),ROW()-1386)),"")</f>
        <v>https://www.comunidad.madrid/hospital/clinicosancarlos/comunicacion/videoteca</v>
      </c>
      <c r="D1395" s="130" t="s">
        <v>28</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Noticias</v>
      </c>
      <c r="C1396" s="114" t="str" cm="1">
        <f t="array" ref="C1396">IFERROR(INDEX('03.Muestra'!$F$8:$F$42,SMALL(IF("Página Web"='03.Muestra'!$D$8:$D$42,ROW('03.Muestra'!$F$8:$F$42)-MIN(ROW('03.Muestra'!$D$8:$D$42))+1,""),ROW()-1386)),"")</f>
        <v>https://www.comunidad.madrid/hospital/clinicosancarlos/comunicacion/noticias</v>
      </c>
      <c r="D1396" s="130" t="s">
        <v>28</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Nosotros</v>
      </c>
      <c r="C1397" s="114" t="str" cm="1">
        <f t="array" ref="C1397">IFERROR(INDEX('03.Muestra'!$F$8:$F$42,SMALL(IF("Página Web"='03.Muestra'!$D$8:$D$42,ROW('03.Muestra'!$F$8:$F$42)-MIN(ROW('03.Muestra'!$D$8:$D$42))+1,""),ROW()-1386)),"")</f>
        <v>https://www.comunidad.madrid/hospital/clinicosancarlos/nosotros</v>
      </c>
      <c r="D1397" s="130" t="s">
        <v>28</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Gestión Ambiental</v>
      </c>
      <c r="C1398" s="114" t="str" cm="1">
        <f t="array" ref="C1398">IFERROR(INDEX('03.Muestra'!$F$8:$F$42,SMALL(IF("Página Web"='03.Muestra'!$D$8:$D$42,ROW('03.Muestra'!$F$8:$F$42)-MIN(ROW('03.Muestra'!$D$8:$D$42))+1,""),ROW()-1386)),"")</f>
        <v>https://www.comunidad.madrid/hospital/clinicosancarlos/nosotros/gestion-ambiental</v>
      </c>
      <c r="D1398" s="130" t="s">
        <v>28</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Proveedores</v>
      </c>
      <c r="C1399" s="114" t="str" cm="1">
        <f t="array" ref="C1399">IFERROR(INDEX('03.Muestra'!$F$8:$F$42,SMALL(IF("Página Web"='03.Muestra'!$D$8:$D$42,ROW('03.Muestra'!$F$8:$F$42)-MIN(ROW('03.Muestra'!$D$8:$D$42))+1,""),ROW()-1386)),"")</f>
        <v>https://www.comunidad.madrid/hospital/clinicosancarlos/nosotros/proveedores-0</v>
      </c>
      <c r="D1399" s="130" t="s">
        <v>28</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Aviso legal</v>
      </c>
      <c r="C1400" s="114" t="str" cm="1">
        <f t="array" ref="C1400">IFERROR(INDEX('03.Muestra'!$F$8:$F$42,SMALL(IF("Página Web"='03.Muestra'!$D$8:$D$42,ROW('03.Muestra'!$F$8:$F$42)-MIN(ROW('03.Muestra'!$D$8:$D$42))+1,""),ROW()-1386)),"")</f>
        <v>https://www.comunidad.madrid/hospital/clinicosancarlos/aviso-legal-privacidad</v>
      </c>
      <c r="D1400" s="130" t="s">
        <v>28</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Mapa web</v>
      </c>
      <c r="C1401" s="114" t="str" cm="1">
        <f t="array" ref="C1401">IFERROR(INDEX('03.Muestra'!$F$8:$F$42,SMALL(IF("Página Web"='03.Muestra'!$D$8:$D$42,ROW('03.Muestra'!$F$8:$F$42)-MIN(ROW('03.Muestra'!$D$8:$D$42))+1,""),ROW()-1386)),"")</f>
        <v>https://www.comunidad.madrid/hospital/clinicosancarlos/sitemap</v>
      </c>
      <c r="D1401" s="130" t="s">
        <v>28</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Accesibilidad</v>
      </c>
      <c r="C1402" s="114" t="str" cm="1">
        <f t="array" ref="C1402">IFERROR(INDEX('03.Muestra'!$F$8:$F$42,SMALL(IF("Página Web"='03.Muestra'!$D$8:$D$42,ROW('03.Muestra'!$F$8:$F$42)-MIN(ROW('03.Muestra'!$D$8:$D$42))+1,""),ROW()-1386)),"")</f>
        <v>https://www.comunidad.madrid/hospital/clinicosancarlos/declaracion-accesibilidad</v>
      </c>
      <c r="D1402" s="130" t="s">
        <v>28</v>
      </c>
      <c r="E1402" s="107" t="str">
        <f t="shared" si="72"/>
        <v/>
      </c>
      <c r="F1402" s="19"/>
      <c r="G1402" s="19"/>
      <c r="H1402" s="19"/>
      <c r="I1402" s="19"/>
      <c r="J1402" s="19"/>
      <c r="K1402" s="233"/>
      <c r="L1402" s="19"/>
    </row>
    <row r="1403" spans="1:12" ht="12" customHeight="1">
      <c r="A1403" s="219" t="str" cm="1">
        <f t="array" ref="A1403">IFERROR(INDEX('03.Muestra'!$B$8:$B$42,SMALL(IF("Página Web"='03.Muestra'!$D$8:$D$42,ROW('03.Muestra'!$B$8:$B$42)-MIN(ROW('03.Muestra'!$D$8:$D$42))+1,""),ROW()-1386)),"")</f>
        <v/>
      </c>
      <c r="B1403" s="114" t="str" cm="1">
        <f t="array" ref="B1403">IFERROR(INDEX('03.Muestra'!$C$8:$C$42,SMALL(IF("Página Web"='03.Muestra'!$D$8:$D$42,ROW('03.Muestra'!$C$8:$C$42)-MIN(ROW('03.Muestra'!$D$8:$D$42))+1,""),ROW()-1386)),"")</f>
        <v/>
      </c>
      <c r="C1403" s="114" t="str" cm="1">
        <f t="array" ref="C1403">IFERROR(INDEX('03.Muestra'!$F$8:$F$42,SMALL(IF("Página Web"='03.Muestra'!$D$8:$D$42,ROW('03.Muestra'!$F$8:$F$42)-MIN(ROW('03.Muestra'!$D$8:$D$42))+1,""),ROW()-1386)),"")</f>
        <v/>
      </c>
      <c r="D1403" s="130" t="str">
        <f t="shared" ref="D1403:D1421" si="73">IF(AND(B1403&lt;&gt;"",C1403&lt;&gt;""),"N/T","")</f>
        <v/>
      </c>
      <c r="E1403" s="107" t="str">
        <f t="shared" si="72"/>
        <v/>
      </c>
      <c r="F1403" s="19"/>
      <c r="G1403" s="19"/>
      <c r="H1403" s="19"/>
      <c r="I1403" s="19"/>
      <c r="J1403" s="19"/>
      <c r="K1403" s="233"/>
      <c r="L1403" s="19"/>
    </row>
    <row r="1404" spans="1:12" ht="12" customHeight="1">
      <c r="A1404" s="219" t="str" cm="1">
        <f t="array" ref="A1404">IFERROR(INDEX('03.Muestra'!$B$8:$B$42,SMALL(IF("Página Web"='03.Muestra'!$D$8:$D$42,ROW('03.Muestra'!$B$8:$B$42)-MIN(ROW('03.Muestra'!$D$8:$D$42))+1,""),ROW()-1386)),"")</f>
        <v/>
      </c>
      <c r="B1404" s="114" t="str" cm="1">
        <f t="array" ref="B1404">IFERROR(INDEX('03.Muestra'!$C$8:$C$42,SMALL(IF("Página Web"='03.Muestra'!$D$8:$D$42,ROW('03.Muestra'!$C$8:$C$42)-MIN(ROW('03.Muestra'!$D$8:$D$42))+1,""),ROW()-1386)),"")</f>
        <v/>
      </c>
      <c r="C1404" s="114" t="str" cm="1">
        <f t="array" ref="C1404">IFERROR(INDEX('03.Muestra'!$F$8:$F$42,SMALL(IF("Página Web"='03.Muestra'!$D$8:$D$42,ROW('03.Muestra'!$F$8:$F$42)-MIN(ROW('03.Muestra'!$D$8:$D$42))+1,""),ROW()-1386)),"")</f>
        <v/>
      </c>
      <c r="D1404" s="130" t="str">
        <f t="shared" si="73"/>
        <v/>
      </c>
      <c r="E1404" s="107" t="str">
        <f t="shared" si="72"/>
        <v/>
      </c>
      <c r="F1404" s="19"/>
      <c r="G1404" s="19"/>
      <c r="H1404" s="19"/>
      <c r="I1404" s="19"/>
      <c r="J1404" s="19"/>
      <c r="K1404" s="233"/>
      <c r="L1404" s="19"/>
    </row>
    <row r="1405" spans="1:12" ht="12" customHeight="1">
      <c r="A1405" s="219" t="str" cm="1">
        <f t="array" ref="A1405">IFERROR(INDEX('03.Muestra'!$B$8:$B$42,SMALL(IF("Página Web"='03.Muestra'!$D$8:$D$42,ROW('03.Muestra'!$B$8:$B$42)-MIN(ROW('03.Muestra'!$D$8:$D$42))+1,""),ROW()-1386)),"")</f>
        <v/>
      </c>
      <c r="B1405" s="114" t="str" cm="1">
        <f t="array" ref="B1405">IFERROR(INDEX('03.Muestra'!$C$8:$C$42,SMALL(IF("Página Web"='03.Muestra'!$D$8:$D$42,ROW('03.Muestra'!$C$8:$C$42)-MIN(ROW('03.Muestra'!$D$8:$D$42))+1,""),ROW()-1386)),"")</f>
        <v/>
      </c>
      <c r="C1405" s="114" t="str" cm="1">
        <f t="array" ref="C1405">IFERROR(INDEX('03.Muestra'!$F$8:$F$42,SMALL(IF("Página Web"='03.Muestra'!$D$8:$D$42,ROW('03.Muestra'!$F$8:$F$42)-MIN(ROW('03.Muestra'!$D$8:$D$42))+1,""),ROW()-1386)),"")</f>
        <v/>
      </c>
      <c r="D1405" s="130" t="str">
        <f t="shared" si="73"/>
        <v/>
      </c>
      <c r="E1405" s="107" t="str">
        <f t="shared" si="72"/>
        <v/>
      </c>
      <c r="F1405" s="19"/>
      <c r="G1405" s="19"/>
      <c r="H1405" s="19"/>
      <c r="I1405" s="19"/>
      <c r="J1405" s="19"/>
      <c r="K1405" s="233"/>
      <c r="L1405" s="19"/>
    </row>
    <row r="1406" spans="1:12" ht="12" customHeight="1">
      <c r="A1406" s="219" t="str" cm="1">
        <f t="array" ref="A1406">IFERROR(INDEX('03.Muestra'!$B$8:$B$42,SMALL(IF("Página Web"='03.Muestra'!$D$8:$D$42,ROW('03.Muestra'!$B$8:$B$42)-MIN(ROW('03.Muestra'!$D$8:$D$42))+1,""),ROW()-1386)),"")</f>
        <v/>
      </c>
      <c r="B1406" s="114" t="str" cm="1">
        <f t="array" ref="B1406">IFERROR(INDEX('03.Muestra'!$C$8:$C$42,SMALL(IF("Página Web"='03.Muestra'!$D$8:$D$42,ROW('03.Muestra'!$C$8:$C$42)-MIN(ROW('03.Muestra'!$D$8:$D$42))+1,""),ROW()-1386)),"")</f>
        <v/>
      </c>
      <c r="C1406" s="114" t="str" cm="1">
        <f t="array" ref="C1406">IFERROR(INDEX('03.Muestra'!$F$8:$F$42,SMALL(IF("Página Web"='03.Muestra'!$D$8:$D$42,ROW('03.Muestra'!$F$8:$F$42)-MIN(ROW('03.Muestra'!$D$8:$D$42))+1,""),ROW()-1386)),"")</f>
        <v/>
      </c>
      <c r="D1406" s="130" t="str">
        <f t="shared" si="73"/>
        <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si="73"/>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268</v>
      </c>
      <c r="B1424" s="24" t="s">
        <v>90</v>
      </c>
      <c r="C1424" s="25" t="s">
        <v>410</v>
      </c>
      <c r="D1424" s="26" t="s">
        <v>32</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https://www.comunidad.madrid/hospital/clinicosancarlos/</v>
      </c>
      <c r="D1425" s="130" t="s">
        <v>35</v>
      </c>
      <c r="E1425" s="107" t="str">
        <f t="shared" ref="E1425:E1459" si="74">IF(D1425&lt;&gt;"",IF(AND(B1425&lt;&gt;"",C1425&lt;&gt;""),"","ERR"),"")</f>
        <v/>
      </c>
      <c r="F1425" s="115" t="s">
        <v>33</v>
      </c>
      <c r="G1425" s="116" t="s">
        <v>37</v>
      </c>
      <c r="H1425" s="117" t="s">
        <v>35</v>
      </c>
      <c r="I1425" s="118" t="s">
        <v>28</v>
      </c>
      <c r="J1425" s="119" t="s">
        <v>26</v>
      </c>
      <c r="K1425" s="226" t="s">
        <v>474</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Ciudadanos</v>
      </c>
      <c r="C1426" s="114" t="str" cm="1">
        <f t="array" ref="C1426">IFERROR(INDEX('03.Muestra'!$F$8:$F$42,SMALL(IF("Página Web"='03.Muestra'!$D$8:$D$42,ROW('03.Muestra'!$F$8:$F$42)-MIN(ROW('03.Muestra'!$D$8:$D$42))+1,""),ROW()-1424)),"")</f>
        <v>https://www.comunidad.madrid/hospital/clinicosancarlos/ciudadanos</v>
      </c>
      <c r="D1426" s="130" t="s">
        <v>35</v>
      </c>
      <c r="E1426" s="107" t="str">
        <f t="shared" si="74"/>
        <v/>
      </c>
      <c r="F1426" s="120">
        <f ca="1">COUNTIF($D1425:INDIRECT("$D" &amp;  SUM(ROW()-1,'03.Muestra'!$D$45)-1),F1425)</f>
        <v>0</v>
      </c>
      <c r="G1426" s="120">
        <f ca="1">COUNTIF($D1425:INDIRECT("$D" &amp;  SUM(ROW()-1,'03.Muestra'!$D$45)-1),G1425)</f>
        <v>0</v>
      </c>
      <c r="H1426" s="120">
        <f ca="1">COUNTIF($D1425:INDIRECT("$D" &amp;  SUM(ROW()-1,'03.Muestra'!$D$45)-1),H1425)</f>
        <v>16</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Consultas externas</v>
      </c>
      <c r="C1427" s="114" t="str" cm="1">
        <f t="array" ref="C1427">IFERROR(INDEX('03.Muestra'!$F$8:$F$42,SMALL(IF("Página Web"='03.Muestra'!$D$8:$D$42,ROW('03.Muestra'!$F$8:$F$42)-MIN(ROW('03.Muestra'!$D$8:$D$42))+1,""),ROW()-1424)),"")</f>
        <v>https://www.comunidad.madrid/hospital/clinicosancarlos/ciudadanos/consultas-externas</v>
      </c>
      <c r="D1427" s="130" t="s">
        <v>35</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Donación</v>
      </c>
      <c r="C1428" s="114" t="str" cm="1">
        <f t="array" ref="C1428">IFERROR(INDEX('03.Muestra'!$F$8:$F$42,SMALL(IF("Página Web"='03.Muestra'!$D$8:$D$42,ROW('03.Muestra'!$F$8:$F$42)-MIN(ROW('03.Muestra'!$D$8:$D$42))+1,""),ROW()-1424)),"")</f>
        <v>https://www.comunidad.madrid/hospital/clinicosancarlos/ciudadanos/donacion-0</v>
      </c>
      <c r="D1428" s="130" t="s">
        <v>35</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Profesionales</v>
      </c>
      <c r="C1429" s="114" t="str" cm="1">
        <f t="array" ref="C1429">IFERROR(INDEX('03.Muestra'!$F$8:$F$42,SMALL(IF("Página Web"='03.Muestra'!$D$8:$D$42,ROW('03.Muestra'!$F$8:$F$42)-MIN(ROW('03.Muestra'!$D$8:$D$42))+1,""),ROW()-1424)),"")</f>
        <v>https://www.comunidad.madrid/hospital/clinicosancarlos/profesionales</v>
      </c>
      <c r="D1429" s="130" t="s">
        <v>35</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Docencia</v>
      </c>
      <c r="C1430" s="114" t="str" cm="1">
        <f t="array" ref="C1430">IFERROR(INDEX('03.Muestra'!$F$8:$F$42,SMALL(IF("Página Web"='03.Muestra'!$D$8:$D$42,ROW('03.Muestra'!$F$8:$F$42)-MIN(ROW('03.Muestra'!$D$8:$D$42))+1,""),ROW()-1424)),"")</f>
        <v>https://www.comunidad.madrid/hospital/clinicosancarlos/profesionales/docencia</v>
      </c>
      <c r="D1430" s="130" t="s">
        <v>35</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Referencia</v>
      </c>
      <c r="C1431" s="114" t="str" cm="1">
        <f t="array" ref="C1431">IFERROR(INDEX('03.Muestra'!$F$8:$F$42,SMALL(IF("Página Web"='03.Muestra'!$D$8:$D$42,ROW('03.Muestra'!$F$8:$F$42)-MIN(ROW('03.Muestra'!$D$8:$D$42))+1,""),ROW()-1424)),"")</f>
        <v>https://www.comunidad.madrid/hospital/clinicosancarlos/profesionales/unidades-referencia-nacional-redes-europeas</v>
      </c>
      <c r="D1431" s="130" t="s">
        <v>35</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Comunicación</v>
      </c>
      <c r="C1432" s="114" t="str" cm="1">
        <f t="array" ref="C1432">IFERROR(INDEX('03.Muestra'!$F$8:$F$42,SMALL(IF("Página Web"='03.Muestra'!$D$8:$D$42,ROW('03.Muestra'!$F$8:$F$42)-MIN(ROW('03.Muestra'!$D$8:$D$42))+1,""),ROW()-1424)),"")</f>
        <v>https://www.comunidad.madrid/hospital/clinicosancarlos/comunicacion</v>
      </c>
      <c r="D1432" s="130" t="s">
        <v>35</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Videoteca</v>
      </c>
      <c r="C1433" s="114" t="str" cm="1">
        <f t="array" ref="C1433">IFERROR(INDEX('03.Muestra'!$F$8:$F$42,SMALL(IF("Página Web"='03.Muestra'!$D$8:$D$42,ROW('03.Muestra'!$F$8:$F$42)-MIN(ROW('03.Muestra'!$D$8:$D$42))+1,""),ROW()-1424)),"")</f>
        <v>https://www.comunidad.madrid/hospital/clinicosancarlos/comunicacion/videoteca</v>
      </c>
      <c r="D1433" s="130" t="s">
        <v>35</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Noticias</v>
      </c>
      <c r="C1434" s="114" t="str" cm="1">
        <f t="array" ref="C1434">IFERROR(INDEX('03.Muestra'!$F$8:$F$42,SMALL(IF("Página Web"='03.Muestra'!$D$8:$D$42,ROW('03.Muestra'!$F$8:$F$42)-MIN(ROW('03.Muestra'!$D$8:$D$42))+1,""),ROW()-1424)),"")</f>
        <v>https://www.comunidad.madrid/hospital/clinicosancarlos/comunicacion/noticias</v>
      </c>
      <c r="D1434" s="130" t="s">
        <v>35</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Nosotros</v>
      </c>
      <c r="C1435" s="114" t="str" cm="1">
        <f t="array" ref="C1435">IFERROR(INDEX('03.Muestra'!$F$8:$F$42,SMALL(IF("Página Web"='03.Muestra'!$D$8:$D$42,ROW('03.Muestra'!$F$8:$F$42)-MIN(ROW('03.Muestra'!$D$8:$D$42))+1,""),ROW()-1424)),"")</f>
        <v>https://www.comunidad.madrid/hospital/clinicosancarlos/nosotros</v>
      </c>
      <c r="D1435" s="130" t="s">
        <v>35</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Gestión Ambiental</v>
      </c>
      <c r="C1436" s="114" t="str" cm="1">
        <f t="array" ref="C1436">IFERROR(INDEX('03.Muestra'!$F$8:$F$42,SMALL(IF("Página Web"='03.Muestra'!$D$8:$D$42,ROW('03.Muestra'!$F$8:$F$42)-MIN(ROW('03.Muestra'!$D$8:$D$42))+1,""),ROW()-1424)),"")</f>
        <v>https://www.comunidad.madrid/hospital/clinicosancarlos/nosotros/gestion-ambiental</v>
      </c>
      <c r="D1436" s="130" t="s">
        <v>35</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Proveedores</v>
      </c>
      <c r="C1437" s="114" t="str" cm="1">
        <f t="array" ref="C1437">IFERROR(INDEX('03.Muestra'!$F$8:$F$42,SMALL(IF("Página Web"='03.Muestra'!$D$8:$D$42,ROW('03.Muestra'!$F$8:$F$42)-MIN(ROW('03.Muestra'!$D$8:$D$42))+1,""),ROW()-1424)),"")</f>
        <v>https://www.comunidad.madrid/hospital/clinicosancarlos/nosotros/proveedores-0</v>
      </c>
      <c r="D1437" s="130" t="s">
        <v>35</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Aviso legal</v>
      </c>
      <c r="C1438" s="114" t="str" cm="1">
        <f t="array" ref="C1438">IFERROR(INDEX('03.Muestra'!$F$8:$F$42,SMALL(IF("Página Web"='03.Muestra'!$D$8:$D$42,ROW('03.Muestra'!$F$8:$F$42)-MIN(ROW('03.Muestra'!$D$8:$D$42))+1,""),ROW()-1424)),"")</f>
        <v>https://www.comunidad.madrid/hospital/clinicosancarlos/aviso-legal-privacidad</v>
      </c>
      <c r="D1438" s="130" t="s">
        <v>35</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Mapa web</v>
      </c>
      <c r="C1439" s="114" t="str" cm="1">
        <f t="array" ref="C1439">IFERROR(INDEX('03.Muestra'!$F$8:$F$42,SMALL(IF("Página Web"='03.Muestra'!$D$8:$D$42,ROW('03.Muestra'!$F$8:$F$42)-MIN(ROW('03.Muestra'!$D$8:$D$42))+1,""),ROW()-1424)),"")</f>
        <v>https://www.comunidad.madrid/hospital/clinicosancarlos/sitemap</v>
      </c>
      <c r="D1439" s="130" t="s">
        <v>35</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Accesibilidad</v>
      </c>
      <c r="C1440" s="114" t="str" cm="1">
        <f t="array" ref="C1440">IFERROR(INDEX('03.Muestra'!$F$8:$F$42,SMALL(IF("Página Web"='03.Muestra'!$D$8:$D$42,ROW('03.Muestra'!$F$8:$F$42)-MIN(ROW('03.Muestra'!$D$8:$D$42))+1,""),ROW()-1424)),"")</f>
        <v>https://www.comunidad.madrid/hospital/clinicosancarlos/declaracion-accesibilidad</v>
      </c>
      <c r="D1440" s="130" t="s">
        <v>35</v>
      </c>
      <c r="E1440" s="107" t="str">
        <f t="shared" si="74"/>
        <v/>
      </c>
      <c r="F1440" s="19"/>
      <c r="G1440" s="19"/>
      <c r="H1440" s="19"/>
      <c r="I1440" s="19"/>
      <c r="J1440" s="19"/>
      <c r="K1440" s="233"/>
      <c r="L1440" s="19"/>
    </row>
    <row r="1441" spans="1:12" ht="12" customHeight="1">
      <c r="A1441" s="219" t="str" cm="1">
        <f t="array" ref="A1441">IFERROR(INDEX('03.Muestra'!$B$8:$B$42,SMALL(IF("Página Web"='03.Muestra'!$D$8:$D$42,ROW('03.Muestra'!$B$8:$B$42)-MIN(ROW('03.Muestra'!$D$8:$D$42))+1,""),ROW()-1424)),"")</f>
        <v/>
      </c>
      <c r="B1441" s="114" t="str" cm="1">
        <f t="array" ref="B1441">IFERROR(INDEX('03.Muestra'!$C$8:$C$42,SMALL(IF("Página Web"='03.Muestra'!$D$8:$D$42,ROW('03.Muestra'!$C$8:$C$42)-MIN(ROW('03.Muestra'!$D$8:$D$42))+1,""),ROW()-1424)),"")</f>
        <v/>
      </c>
      <c r="C1441" s="114" t="str" cm="1">
        <f t="array" ref="C1441">IFERROR(INDEX('03.Muestra'!$F$8:$F$42,SMALL(IF("Página Web"='03.Muestra'!$D$8:$D$42,ROW('03.Muestra'!$F$8:$F$42)-MIN(ROW('03.Muestra'!$D$8:$D$42))+1,""),ROW()-1424)),"")</f>
        <v/>
      </c>
      <c r="D1441" s="130" t="str">
        <f t="shared" ref="D1441:D1459" si="75">IF(AND(B1441&lt;&gt;"",C1441&lt;&gt;""),"N/T","")</f>
        <v/>
      </c>
      <c r="E1441" s="107" t="str">
        <f t="shared" si="74"/>
        <v/>
      </c>
      <c r="F1441" s="19"/>
      <c r="G1441" s="19"/>
      <c r="H1441" s="19"/>
      <c r="I1441" s="19"/>
      <c r="J1441" s="19"/>
      <c r="K1441" s="233"/>
      <c r="L1441" s="19"/>
    </row>
    <row r="1442" spans="1:12" ht="12" customHeight="1">
      <c r="A1442" s="219" t="str" cm="1">
        <f t="array" ref="A1442">IFERROR(INDEX('03.Muestra'!$B$8:$B$42,SMALL(IF("Página Web"='03.Muestra'!$D$8:$D$42,ROW('03.Muestra'!$B$8:$B$42)-MIN(ROW('03.Muestra'!$D$8:$D$42))+1,""),ROW()-1424)),"")</f>
        <v/>
      </c>
      <c r="B1442" s="114" t="str" cm="1">
        <f t="array" ref="B1442">IFERROR(INDEX('03.Muestra'!$C$8:$C$42,SMALL(IF("Página Web"='03.Muestra'!$D$8:$D$42,ROW('03.Muestra'!$C$8:$C$42)-MIN(ROW('03.Muestra'!$D$8:$D$42))+1,""),ROW()-1424)),"")</f>
        <v/>
      </c>
      <c r="C1442" s="114" t="str" cm="1">
        <f t="array" ref="C1442">IFERROR(INDEX('03.Muestra'!$F$8:$F$42,SMALL(IF("Página Web"='03.Muestra'!$D$8:$D$42,ROW('03.Muestra'!$F$8:$F$42)-MIN(ROW('03.Muestra'!$D$8:$D$42))+1,""),ROW()-1424)),"")</f>
        <v/>
      </c>
      <c r="D1442" s="130" t="str">
        <f t="shared" si="75"/>
        <v/>
      </c>
      <c r="E1442" s="107" t="str">
        <f t="shared" si="74"/>
        <v/>
      </c>
      <c r="F1442" s="19"/>
      <c r="G1442" s="19"/>
      <c r="H1442" s="19"/>
      <c r="I1442" s="19"/>
      <c r="J1442" s="19"/>
      <c r="K1442" s="233"/>
      <c r="L1442" s="19"/>
    </row>
    <row r="1443" spans="1:12" ht="12" customHeight="1">
      <c r="A1443" s="219" t="str" cm="1">
        <f t="array" ref="A1443">IFERROR(INDEX('03.Muestra'!$B$8:$B$42,SMALL(IF("Página Web"='03.Muestra'!$D$8:$D$42,ROW('03.Muestra'!$B$8:$B$42)-MIN(ROW('03.Muestra'!$D$8:$D$42))+1,""),ROW()-1424)),"")</f>
        <v/>
      </c>
      <c r="B1443" s="114" t="str" cm="1">
        <f t="array" ref="B1443">IFERROR(INDEX('03.Muestra'!$C$8:$C$42,SMALL(IF("Página Web"='03.Muestra'!$D$8:$D$42,ROW('03.Muestra'!$C$8:$C$42)-MIN(ROW('03.Muestra'!$D$8:$D$42))+1,""),ROW()-1424)),"")</f>
        <v/>
      </c>
      <c r="C1443" s="114" t="str" cm="1">
        <f t="array" ref="C1443">IFERROR(INDEX('03.Muestra'!$F$8:$F$42,SMALL(IF("Página Web"='03.Muestra'!$D$8:$D$42,ROW('03.Muestra'!$F$8:$F$42)-MIN(ROW('03.Muestra'!$D$8:$D$42))+1,""),ROW()-1424)),"")</f>
        <v/>
      </c>
      <c r="D1443" s="130" t="str">
        <f t="shared" si="75"/>
        <v/>
      </c>
      <c r="E1443" s="107" t="str">
        <f t="shared" si="74"/>
        <v/>
      </c>
      <c r="F1443" s="19"/>
      <c r="G1443" s="19"/>
      <c r="H1443" s="19"/>
      <c r="I1443" s="19"/>
      <c r="J1443" s="19"/>
      <c r="K1443" s="233"/>
      <c r="L1443" s="19"/>
    </row>
    <row r="1444" spans="1:12" ht="12" customHeight="1">
      <c r="A1444" s="219" t="str" cm="1">
        <f t="array" ref="A1444">IFERROR(INDEX('03.Muestra'!$B$8:$B$42,SMALL(IF("Página Web"='03.Muestra'!$D$8:$D$42,ROW('03.Muestra'!$B$8:$B$42)-MIN(ROW('03.Muestra'!$D$8:$D$42))+1,""),ROW()-1424)),"")</f>
        <v/>
      </c>
      <c r="B1444" s="114" t="str" cm="1">
        <f t="array" ref="B1444">IFERROR(INDEX('03.Muestra'!$C$8:$C$42,SMALL(IF("Página Web"='03.Muestra'!$D$8:$D$42,ROW('03.Muestra'!$C$8:$C$42)-MIN(ROW('03.Muestra'!$D$8:$D$42))+1,""),ROW()-1424)),"")</f>
        <v/>
      </c>
      <c r="C1444" s="114" t="str" cm="1">
        <f t="array" ref="C1444">IFERROR(INDEX('03.Muestra'!$F$8:$F$42,SMALL(IF("Página Web"='03.Muestra'!$D$8:$D$42,ROW('03.Muestra'!$F$8:$F$42)-MIN(ROW('03.Muestra'!$D$8:$D$42))+1,""),ROW()-1424)),"")</f>
        <v/>
      </c>
      <c r="D1444" s="130" t="str">
        <f t="shared" si="75"/>
        <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si="75"/>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268</v>
      </c>
      <c r="B1462" s="24" t="s">
        <v>90</v>
      </c>
      <c r="C1462" s="25" t="s">
        <v>411</v>
      </c>
      <c r="D1462" s="26" t="s">
        <v>32</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https://www.comunidad.madrid/hospital/clinicosancarlos/</v>
      </c>
      <c r="D1463" s="130" t="s">
        <v>26</v>
      </c>
      <c r="E1463" s="107" t="str">
        <f t="shared" ref="E1463:E1497" si="76">IF(D1463&lt;&gt;"",IF(AND(B1463&lt;&gt;"",C1463&lt;&gt;""),"","ERR"),"")</f>
        <v/>
      </c>
      <c r="F1463" s="115" t="s">
        <v>33</v>
      </c>
      <c r="G1463" s="116" t="s">
        <v>37</v>
      </c>
      <c r="H1463" s="117" t="s">
        <v>35</v>
      </c>
      <c r="I1463" s="118" t="s">
        <v>28</v>
      </c>
      <c r="J1463" s="119" t="s">
        <v>26</v>
      </c>
      <c r="K1463" s="226" t="s">
        <v>474</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Ciudadanos</v>
      </c>
      <c r="C1464" s="114" t="str" cm="1">
        <f t="array" ref="C1464">IFERROR(INDEX('03.Muestra'!$F$8:$F$42,SMALL(IF("Página Web"='03.Muestra'!$D$8:$D$42,ROW('03.Muestra'!$F$8:$F$42)-MIN(ROW('03.Muestra'!$D$8:$D$42))+1,""),ROW()-1462)),"")</f>
        <v>https://www.comunidad.madrid/hospital/clinicosancarlos/ciudadanos</v>
      </c>
      <c r="D1464" s="130" t="s">
        <v>26</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16</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Consultas externas</v>
      </c>
      <c r="C1465" s="114" t="str" cm="1">
        <f t="array" ref="C1465">IFERROR(INDEX('03.Muestra'!$F$8:$F$42,SMALL(IF("Página Web"='03.Muestra'!$D$8:$D$42,ROW('03.Muestra'!$F$8:$F$42)-MIN(ROW('03.Muestra'!$D$8:$D$42))+1,""),ROW()-1462)),"")</f>
        <v>https://www.comunidad.madrid/hospital/clinicosancarlos/ciudadanos/consultas-externas</v>
      </c>
      <c r="D1465" s="130" t="s">
        <v>26</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Donación</v>
      </c>
      <c r="C1466" s="114" t="str" cm="1">
        <f t="array" ref="C1466">IFERROR(INDEX('03.Muestra'!$F$8:$F$42,SMALL(IF("Página Web"='03.Muestra'!$D$8:$D$42,ROW('03.Muestra'!$F$8:$F$42)-MIN(ROW('03.Muestra'!$D$8:$D$42))+1,""),ROW()-1462)),"")</f>
        <v>https://www.comunidad.madrid/hospital/clinicosancarlos/ciudadanos/donacion-0</v>
      </c>
      <c r="D1466" s="130" t="s">
        <v>26</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Profesionales</v>
      </c>
      <c r="C1467" s="114" t="str" cm="1">
        <f t="array" ref="C1467">IFERROR(INDEX('03.Muestra'!$F$8:$F$42,SMALL(IF("Página Web"='03.Muestra'!$D$8:$D$42,ROW('03.Muestra'!$F$8:$F$42)-MIN(ROW('03.Muestra'!$D$8:$D$42))+1,""),ROW()-1462)),"")</f>
        <v>https://www.comunidad.madrid/hospital/clinicosancarlos/profesionales</v>
      </c>
      <c r="D1467" s="130" t="s">
        <v>26</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Docencia</v>
      </c>
      <c r="C1468" s="114" t="str" cm="1">
        <f t="array" ref="C1468">IFERROR(INDEX('03.Muestra'!$F$8:$F$42,SMALL(IF("Página Web"='03.Muestra'!$D$8:$D$42,ROW('03.Muestra'!$F$8:$F$42)-MIN(ROW('03.Muestra'!$D$8:$D$42))+1,""),ROW()-1462)),"")</f>
        <v>https://www.comunidad.madrid/hospital/clinicosancarlos/profesionales/docencia</v>
      </c>
      <c r="D1468" s="130" t="s">
        <v>26</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Referencia</v>
      </c>
      <c r="C1469" s="114" t="str" cm="1">
        <f t="array" ref="C1469">IFERROR(INDEX('03.Muestra'!$F$8:$F$42,SMALL(IF("Página Web"='03.Muestra'!$D$8:$D$42,ROW('03.Muestra'!$F$8:$F$42)-MIN(ROW('03.Muestra'!$D$8:$D$42))+1,""),ROW()-1462)),"")</f>
        <v>https://www.comunidad.madrid/hospital/clinicosancarlos/profesionales/unidades-referencia-nacional-redes-europeas</v>
      </c>
      <c r="D1469" s="130" t="s">
        <v>26</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Comunicación</v>
      </c>
      <c r="C1470" s="114" t="str" cm="1">
        <f t="array" ref="C1470">IFERROR(INDEX('03.Muestra'!$F$8:$F$42,SMALL(IF("Página Web"='03.Muestra'!$D$8:$D$42,ROW('03.Muestra'!$F$8:$F$42)-MIN(ROW('03.Muestra'!$D$8:$D$42))+1,""),ROW()-1462)),"")</f>
        <v>https://www.comunidad.madrid/hospital/clinicosancarlos/comunicacion</v>
      </c>
      <c r="D1470" s="130" t="s">
        <v>26</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Videoteca</v>
      </c>
      <c r="C1471" s="114" t="str" cm="1">
        <f t="array" ref="C1471">IFERROR(INDEX('03.Muestra'!$F$8:$F$42,SMALL(IF("Página Web"='03.Muestra'!$D$8:$D$42,ROW('03.Muestra'!$F$8:$F$42)-MIN(ROW('03.Muestra'!$D$8:$D$42))+1,""),ROW()-1462)),"")</f>
        <v>https://www.comunidad.madrid/hospital/clinicosancarlos/comunicacion/videoteca</v>
      </c>
      <c r="D1471" s="130" t="s">
        <v>26</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Noticias</v>
      </c>
      <c r="C1472" s="114" t="str" cm="1">
        <f t="array" ref="C1472">IFERROR(INDEX('03.Muestra'!$F$8:$F$42,SMALL(IF("Página Web"='03.Muestra'!$D$8:$D$42,ROW('03.Muestra'!$F$8:$F$42)-MIN(ROW('03.Muestra'!$D$8:$D$42))+1,""),ROW()-1462)),"")</f>
        <v>https://www.comunidad.madrid/hospital/clinicosancarlos/comunicacion/noticias</v>
      </c>
      <c r="D1472" s="130" t="s">
        <v>26</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Nosotros</v>
      </c>
      <c r="C1473" s="114" t="str" cm="1">
        <f t="array" ref="C1473">IFERROR(INDEX('03.Muestra'!$F$8:$F$42,SMALL(IF("Página Web"='03.Muestra'!$D$8:$D$42,ROW('03.Muestra'!$F$8:$F$42)-MIN(ROW('03.Muestra'!$D$8:$D$42))+1,""),ROW()-1462)),"")</f>
        <v>https://www.comunidad.madrid/hospital/clinicosancarlos/nosotros</v>
      </c>
      <c r="D1473" s="130" t="s">
        <v>26</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Gestión Ambiental</v>
      </c>
      <c r="C1474" s="114" t="str" cm="1">
        <f t="array" ref="C1474">IFERROR(INDEX('03.Muestra'!$F$8:$F$42,SMALL(IF("Página Web"='03.Muestra'!$D$8:$D$42,ROW('03.Muestra'!$F$8:$F$42)-MIN(ROW('03.Muestra'!$D$8:$D$42))+1,""),ROW()-1462)),"")</f>
        <v>https://www.comunidad.madrid/hospital/clinicosancarlos/nosotros/gestion-ambiental</v>
      </c>
      <c r="D1474" s="130" t="s">
        <v>26</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Proveedores</v>
      </c>
      <c r="C1475" s="114" t="str" cm="1">
        <f t="array" ref="C1475">IFERROR(INDEX('03.Muestra'!$F$8:$F$42,SMALL(IF("Página Web"='03.Muestra'!$D$8:$D$42,ROW('03.Muestra'!$F$8:$F$42)-MIN(ROW('03.Muestra'!$D$8:$D$42))+1,""),ROW()-1462)),"")</f>
        <v>https://www.comunidad.madrid/hospital/clinicosancarlos/nosotros/proveedores-0</v>
      </c>
      <c r="D1475" s="130" t="s">
        <v>26</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Aviso legal</v>
      </c>
      <c r="C1476" s="114" t="str" cm="1">
        <f t="array" ref="C1476">IFERROR(INDEX('03.Muestra'!$F$8:$F$42,SMALL(IF("Página Web"='03.Muestra'!$D$8:$D$42,ROW('03.Muestra'!$F$8:$F$42)-MIN(ROW('03.Muestra'!$D$8:$D$42))+1,""),ROW()-1462)),"")</f>
        <v>https://www.comunidad.madrid/hospital/clinicosancarlos/aviso-legal-privacidad</v>
      </c>
      <c r="D1476" s="130" t="s">
        <v>26</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Mapa web</v>
      </c>
      <c r="C1477" s="114" t="str" cm="1">
        <f t="array" ref="C1477">IFERROR(INDEX('03.Muestra'!$F$8:$F$42,SMALL(IF("Página Web"='03.Muestra'!$D$8:$D$42,ROW('03.Muestra'!$F$8:$F$42)-MIN(ROW('03.Muestra'!$D$8:$D$42))+1,""),ROW()-1462)),"")</f>
        <v>https://www.comunidad.madrid/hospital/clinicosancarlos/sitemap</v>
      </c>
      <c r="D1477" s="130" t="s">
        <v>26</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Accesibilidad</v>
      </c>
      <c r="C1478" s="114" t="str" cm="1">
        <f t="array" ref="C1478">IFERROR(INDEX('03.Muestra'!$F$8:$F$42,SMALL(IF("Página Web"='03.Muestra'!$D$8:$D$42,ROW('03.Muestra'!$F$8:$F$42)-MIN(ROW('03.Muestra'!$D$8:$D$42))+1,""),ROW()-1462)),"")</f>
        <v>https://www.comunidad.madrid/hospital/clinicosancarlos/declaracion-accesibilidad</v>
      </c>
      <c r="D1478" s="130" t="s">
        <v>26</v>
      </c>
      <c r="E1478" s="107" t="str">
        <f t="shared" si="76"/>
        <v/>
      </c>
      <c r="F1478" s="19"/>
      <c r="G1478" s="19"/>
      <c r="H1478" s="19"/>
      <c r="I1478" s="19"/>
      <c r="J1478" s="19"/>
      <c r="K1478" s="233"/>
      <c r="L1478" s="19"/>
    </row>
    <row r="1479" spans="1:12" ht="12" customHeight="1">
      <c r="A1479" s="219" t="str" cm="1">
        <f t="array" ref="A1479">IFERROR(INDEX('03.Muestra'!$B$8:$B$42,SMALL(IF("Página Web"='03.Muestra'!$D$8:$D$42,ROW('03.Muestra'!$B$8:$B$42)-MIN(ROW('03.Muestra'!$D$8:$D$42))+1,""),ROW()-1462)),"")</f>
        <v/>
      </c>
      <c r="B1479" s="114" t="str" cm="1">
        <f t="array" ref="B1479">IFERROR(INDEX('03.Muestra'!$C$8:$C$42,SMALL(IF("Página Web"='03.Muestra'!$D$8:$D$42,ROW('03.Muestra'!$C$8:$C$42)-MIN(ROW('03.Muestra'!$D$8:$D$42))+1,""),ROW()-1462)),"")</f>
        <v/>
      </c>
      <c r="C1479" s="114" t="str" cm="1">
        <f t="array" ref="C1479">IFERROR(INDEX('03.Muestra'!$F$8:$F$42,SMALL(IF("Página Web"='03.Muestra'!$D$8:$D$42,ROW('03.Muestra'!$F$8:$F$42)-MIN(ROW('03.Muestra'!$D$8:$D$42))+1,""),ROW()-1462)),"")</f>
        <v/>
      </c>
      <c r="D1479" s="130" t="str">
        <f t="shared" ref="D1479:D1497" si="77">IF(AND(B1479&lt;&gt;"",C1479&lt;&gt;""),"N/T","")</f>
        <v/>
      </c>
      <c r="E1479" s="107" t="str">
        <f t="shared" si="76"/>
        <v/>
      </c>
      <c r="F1479" s="19"/>
      <c r="G1479" s="19"/>
      <c r="H1479" s="19"/>
      <c r="I1479" s="19"/>
      <c r="J1479" s="19"/>
      <c r="K1479" s="233"/>
      <c r="L1479" s="19"/>
    </row>
    <row r="1480" spans="1:12" ht="12" customHeight="1">
      <c r="A1480" s="219" t="str" cm="1">
        <f t="array" ref="A1480">IFERROR(INDEX('03.Muestra'!$B$8:$B$42,SMALL(IF("Página Web"='03.Muestra'!$D$8:$D$42,ROW('03.Muestra'!$B$8:$B$42)-MIN(ROW('03.Muestra'!$D$8:$D$42))+1,""),ROW()-1462)),"")</f>
        <v/>
      </c>
      <c r="B1480" s="114" t="str" cm="1">
        <f t="array" ref="B1480">IFERROR(INDEX('03.Muestra'!$C$8:$C$42,SMALL(IF("Página Web"='03.Muestra'!$D$8:$D$42,ROW('03.Muestra'!$C$8:$C$42)-MIN(ROW('03.Muestra'!$D$8:$D$42))+1,""),ROW()-1462)),"")</f>
        <v/>
      </c>
      <c r="C1480" s="114" t="str" cm="1">
        <f t="array" ref="C1480">IFERROR(INDEX('03.Muestra'!$F$8:$F$42,SMALL(IF("Página Web"='03.Muestra'!$D$8:$D$42,ROW('03.Muestra'!$F$8:$F$42)-MIN(ROW('03.Muestra'!$D$8:$D$42))+1,""),ROW()-1462)),"")</f>
        <v/>
      </c>
      <c r="D1480" s="130" t="str">
        <f t="shared" si="77"/>
        <v/>
      </c>
      <c r="E1480" s="107" t="str">
        <f t="shared" si="76"/>
        <v/>
      </c>
      <c r="F1480" s="19"/>
      <c r="G1480" s="19"/>
      <c r="H1480" s="19"/>
      <c r="I1480" s="19"/>
      <c r="J1480" s="19"/>
      <c r="K1480" s="233"/>
      <c r="L1480" s="19"/>
    </row>
    <row r="1481" spans="1:12" ht="12" customHeight="1">
      <c r="A1481" s="219" t="str" cm="1">
        <f t="array" ref="A1481">IFERROR(INDEX('03.Muestra'!$B$8:$B$42,SMALL(IF("Página Web"='03.Muestra'!$D$8:$D$42,ROW('03.Muestra'!$B$8:$B$42)-MIN(ROW('03.Muestra'!$D$8:$D$42))+1,""),ROW()-1462)),"")</f>
        <v/>
      </c>
      <c r="B1481" s="114" t="str" cm="1">
        <f t="array" ref="B1481">IFERROR(INDEX('03.Muestra'!$C$8:$C$42,SMALL(IF("Página Web"='03.Muestra'!$D$8:$D$42,ROW('03.Muestra'!$C$8:$C$42)-MIN(ROW('03.Muestra'!$D$8:$D$42))+1,""),ROW()-1462)),"")</f>
        <v/>
      </c>
      <c r="C1481" s="114" t="str" cm="1">
        <f t="array" ref="C1481">IFERROR(INDEX('03.Muestra'!$F$8:$F$42,SMALL(IF("Página Web"='03.Muestra'!$D$8:$D$42,ROW('03.Muestra'!$F$8:$F$42)-MIN(ROW('03.Muestra'!$D$8:$D$42))+1,""),ROW()-1462)),"")</f>
        <v/>
      </c>
      <c r="D1481" s="130" t="str">
        <f t="shared" si="77"/>
        <v/>
      </c>
      <c r="E1481" s="107" t="str">
        <f t="shared" si="76"/>
        <v/>
      </c>
      <c r="F1481" s="19"/>
      <c r="G1481" s="19"/>
      <c r="H1481" s="19"/>
      <c r="I1481" s="19"/>
      <c r="J1481" s="19"/>
      <c r="K1481" s="233"/>
      <c r="L1481" s="19"/>
    </row>
    <row r="1482" spans="1:12" ht="12" customHeight="1">
      <c r="A1482" s="219" t="str" cm="1">
        <f t="array" ref="A1482">IFERROR(INDEX('03.Muestra'!$B$8:$B$42,SMALL(IF("Página Web"='03.Muestra'!$D$8:$D$42,ROW('03.Muestra'!$B$8:$B$42)-MIN(ROW('03.Muestra'!$D$8:$D$42))+1,""),ROW()-1462)),"")</f>
        <v/>
      </c>
      <c r="B1482" s="114" t="str" cm="1">
        <f t="array" ref="B1482">IFERROR(INDEX('03.Muestra'!$C$8:$C$42,SMALL(IF("Página Web"='03.Muestra'!$D$8:$D$42,ROW('03.Muestra'!$C$8:$C$42)-MIN(ROW('03.Muestra'!$D$8:$D$42))+1,""),ROW()-1462)),"")</f>
        <v/>
      </c>
      <c r="C1482" s="114" t="str" cm="1">
        <f t="array" ref="C1482">IFERROR(INDEX('03.Muestra'!$F$8:$F$42,SMALL(IF("Página Web"='03.Muestra'!$D$8:$D$42,ROW('03.Muestra'!$F$8:$F$42)-MIN(ROW('03.Muestra'!$D$8:$D$42))+1,""),ROW()-1462)),"")</f>
        <v/>
      </c>
      <c r="D1482" s="130" t="str">
        <f t="shared" si="77"/>
        <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si="77"/>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268</v>
      </c>
      <c r="B1500" s="24" t="s">
        <v>90</v>
      </c>
      <c r="C1500" s="25" t="s">
        <v>412</v>
      </c>
      <c r="D1500" s="26" t="s">
        <v>32</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https://www.comunidad.madrid/hospital/clinicosancarlos/</v>
      </c>
      <c r="D1501" s="130" t="s">
        <v>35</v>
      </c>
      <c r="E1501" s="107" t="str">
        <f t="shared" ref="E1501:E1535" si="78">IF(D1501&lt;&gt;"",IF(AND(B1501&lt;&gt;"",C1501&lt;&gt;""),"","ERR"),"")</f>
        <v/>
      </c>
      <c r="F1501" s="115" t="s">
        <v>33</v>
      </c>
      <c r="G1501" s="116" t="s">
        <v>37</v>
      </c>
      <c r="H1501" s="117" t="s">
        <v>35</v>
      </c>
      <c r="I1501" s="118" t="s">
        <v>28</v>
      </c>
      <c r="J1501" s="119" t="s">
        <v>26</v>
      </c>
      <c r="K1501" s="226" t="s">
        <v>474</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Ciudadanos</v>
      </c>
      <c r="C1502" s="114" t="str" cm="1">
        <f t="array" ref="C1502">IFERROR(INDEX('03.Muestra'!$F$8:$F$42,SMALL(IF("Página Web"='03.Muestra'!$D$8:$D$42,ROW('03.Muestra'!$F$8:$F$42)-MIN(ROW('03.Muestra'!$D$8:$D$42))+1,""),ROW()-1500)),"")</f>
        <v>https://www.comunidad.madrid/hospital/clinicosancarlos/ciudadanos</v>
      </c>
      <c r="D1502" s="130" t="s">
        <v>35</v>
      </c>
      <c r="E1502" s="107" t="str">
        <f t="shared" si="78"/>
        <v/>
      </c>
      <c r="F1502" s="120">
        <f ca="1">COUNTIF($D1501:INDIRECT("$D" &amp;  SUM(ROW()-1,'03.Muestra'!$D$45)-1),F1501)</f>
        <v>0</v>
      </c>
      <c r="G1502" s="120">
        <f ca="1">COUNTIF($D1501:INDIRECT("$D" &amp;  SUM(ROW()-1,'03.Muestra'!$D$45)-1),G1501)</f>
        <v>0</v>
      </c>
      <c r="H1502" s="120">
        <f ca="1">COUNTIF($D1501:INDIRECT("$D" &amp;  SUM(ROW()-1,'03.Muestra'!$D$45)-1),H1501)</f>
        <v>14</v>
      </c>
      <c r="I1502" s="120">
        <f ca="1">COUNTIF($D1501:INDIRECT("$D" &amp;  SUM(ROW()-1,'03.Muestra'!$D$45)-1),I1501)</f>
        <v>0</v>
      </c>
      <c r="J1502" s="120">
        <f ca="1">COUNTIF($D1501:INDIRECT("$D" &amp;  SUM(ROW()-1,'03.Muestra'!$D$45)-1),J1501)</f>
        <v>2</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Consultas externas</v>
      </c>
      <c r="C1503" s="114" t="str" cm="1">
        <f t="array" ref="C1503">IFERROR(INDEX('03.Muestra'!$F$8:$F$42,SMALL(IF("Página Web"='03.Muestra'!$D$8:$D$42,ROW('03.Muestra'!$F$8:$F$42)-MIN(ROW('03.Muestra'!$D$8:$D$42))+1,""),ROW()-1500)),"")</f>
        <v>https://www.comunidad.madrid/hospital/clinicosancarlos/ciudadanos/consultas-externas</v>
      </c>
      <c r="D1503" s="130" t="s">
        <v>35</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Donación</v>
      </c>
      <c r="C1504" s="114" t="str" cm="1">
        <f t="array" ref="C1504">IFERROR(INDEX('03.Muestra'!$F$8:$F$42,SMALL(IF("Página Web"='03.Muestra'!$D$8:$D$42,ROW('03.Muestra'!$F$8:$F$42)-MIN(ROW('03.Muestra'!$D$8:$D$42))+1,""),ROW()-1500)),"")</f>
        <v>https://www.comunidad.madrid/hospital/clinicosancarlos/ciudadanos/donacion-0</v>
      </c>
      <c r="D1504" s="130" t="s">
        <v>35</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Profesionales</v>
      </c>
      <c r="C1505" s="114" t="str" cm="1">
        <f t="array" ref="C1505">IFERROR(INDEX('03.Muestra'!$F$8:$F$42,SMALL(IF("Página Web"='03.Muestra'!$D$8:$D$42,ROW('03.Muestra'!$F$8:$F$42)-MIN(ROW('03.Muestra'!$D$8:$D$42))+1,""),ROW()-1500)),"")</f>
        <v>https://www.comunidad.madrid/hospital/clinicosancarlos/profesionales</v>
      </c>
      <c r="D1505" s="130" t="s">
        <v>35</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Docencia</v>
      </c>
      <c r="C1506" s="114" t="str" cm="1">
        <f t="array" ref="C1506">IFERROR(INDEX('03.Muestra'!$F$8:$F$42,SMALL(IF("Página Web"='03.Muestra'!$D$8:$D$42,ROW('03.Muestra'!$F$8:$F$42)-MIN(ROW('03.Muestra'!$D$8:$D$42))+1,""),ROW()-1500)),"")</f>
        <v>https://www.comunidad.madrid/hospital/clinicosancarlos/profesionales/docencia</v>
      </c>
      <c r="D1506" s="130" t="s">
        <v>35</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Referencia</v>
      </c>
      <c r="C1507" s="114" t="str" cm="1">
        <f t="array" ref="C1507">IFERROR(INDEX('03.Muestra'!$F$8:$F$42,SMALL(IF("Página Web"='03.Muestra'!$D$8:$D$42,ROW('03.Muestra'!$F$8:$F$42)-MIN(ROW('03.Muestra'!$D$8:$D$42))+1,""),ROW()-1500)),"")</f>
        <v>https://www.comunidad.madrid/hospital/clinicosancarlos/profesionales/unidades-referencia-nacional-redes-europeas</v>
      </c>
      <c r="D1507" s="130" t="s">
        <v>35</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Comunicación</v>
      </c>
      <c r="C1508" s="114" t="str" cm="1">
        <f t="array" ref="C1508">IFERROR(INDEX('03.Muestra'!$F$8:$F$42,SMALL(IF("Página Web"='03.Muestra'!$D$8:$D$42,ROW('03.Muestra'!$F$8:$F$42)-MIN(ROW('03.Muestra'!$D$8:$D$42))+1,""),ROW()-1500)),"")</f>
        <v>https://www.comunidad.madrid/hospital/clinicosancarlos/comunicacion</v>
      </c>
      <c r="D1508" s="130" t="s">
        <v>35</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Videoteca</v>
      </c>
      <c r="C1509" s="114" t="str" cm="1">
        <f t="array" ref="C1509">IFERROR(INDEX('03.Muestra'!$F$8:$F$42,SMALL(IF("Página Web"='03.Muestra'!$D$8:$D$42,ROW('03.Muestra'!$F$8:$F$42)-MIN(ROW('03.Muestra'!$D$8:$D$42))+1,""),ROW()-1500)),"")</f>
        <v>https://www.comunidad.madrid/hospital/clinicosancarlos/comunicacion/videoteca</v>
      </c>
      <c r="D1509" s="130" t="s">
        <v>26</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Noticias</v>
      </c>
      <c r="C1510" s="114" t="str" cm="1">
        <f t="array" ref="C1510">IFERROR(INDEX('03.Muestra'!$F$8:$F$42,SMALL(IF("Página Web"='03.Muestra'!$D$8:$D$42,ROW('03.Muestra'!$F$8:$F$42)-MIN(ROW('03.Muestra'!$D$8:$D$42))+1,""),ROW()-1500)),"")</f>
        <v>https://www.comunidad.madrid/hospital/clinicosancarlos/comunicacion/noticias</v>
      </c>
      <c r="D1510" s="130" t="s">
        <v>26</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Nosotros</v>
      </c>
      <c r="C1511" s="114" t="str" cm="1">
        <f t="array" ref="C1511">IFERROR(INDEX('03.Muestra'!$F$8:$F$42,SMALL(IF("Página Web"='03.Muestra'!$D$8:$D$42,ROW('03.Muestra'!$F$8:$F$42)-MIN(ROW('03.Muestra'!$D$8:$D$42))+1,""),ROW()-1500)),"")</f>
        <v>https://www.comunidad.madrid/hospital/clinicosancarlos/nosotros</v>
      </c>
      <c r="D1511" s="130" t="s">
        <v>35</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Gestión Ambiental</v>
      </c>
      <c r="C1512" s="114" t="str" cm="1">
        <f t="array" ref="C1512">IFERROR(INDEX('03.Muestra'!$F$8:$F$42,SMALL(IF("Página Web"='03.Muestra'!$D$8:$D$42,ROW('03.Muestra'!$F$8:$F$42)-MIN(ROW('03.Muestra'!$D$8:$D$42))+1,""),ROW()-1500)),"")</f>
        <v>https://www.comunidad.madrid/hospital/clinicosancarlos/nosotros/gestion-ambiental</v>
      </c>
      <c r="D1512" s="130" t="s">
        <v>35</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Proveedores</v>
      </c>
      <c r="C1513" s="114" t="str" cm="1">
        <f t="array" ref="C1513">IFERROR(INDEX('03.Muestra'!$F$8:$F$42,SMALL(IF("Página Web"='03.Muestra'!$D$8:$D$42,ROW('03.Muestra'!$F$8:$F$42)-MIN(ROW('03.Muestra'!$D$8:$D$42))+1,""),ROW()-1500)),"")</f>
        <v>https://www.comunidad.madrid/hospital/clinicosancarlos/nosotros/proveedores-0</v>
      </c>
      <c r="D1513" s="130" t="s">
        <v>35</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Aviso legal</v>
      </c>
      <c r="C1514" s="114" t="str" cm="1">
        <f t="array" ref="C1514">IFERROR(INDEX('03.Muestra'!$F$8:$F$42,SMALL(IF("Página Web"='03.Muestra'!$D$8:$D$42,ROW('03.Muestra'!$F$8:$F$42)-MIN(ROW('03.Muestra'!$D$8:$D$42))+1,""),ROW()-1500)),"")</f>
        <v>https://www.comunidad.madrid/hospital/clinicosancarlos/aviso-legal-privacidad</v>
      </c>
      <c r="D1514" s="130" t="s">
        <v>35</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Mapa web</v>
      </c>
      <c r="C1515" s="114" t="str" cm="1">
        <f t="array" ref="C1515">IFERROR(INDEX('03.Muestra'!$F$8:$F$42,SMALL(IF("Página Web"='03.Muestra'!$D$8:$D$42,ROW('03.Muestra'!$F$8:$F$42)-MIN(ROW('03.Muestra'!$D$8:$D$42))+1,""),ROW()-1500)),"")</f>
        <v>https://www.comunidad.madrid/hospital/clinicosancarlos/sitemap</v>
      </c>
      <c r="D1515" s="130" t="s">
        <v>35</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Accesibilidad</v>
      </c>
      <c r="C1516" s="114" t="str" cm="1">
        <f t="array" ref="C1516">IFERROR(INDEX('03.Muestra'!$F$8:$F$42,SMALL(IF("Página Web"='03.Muestra'!$D$8:$D$42,ROW('03.Muestra'!$F$8:$F$42)-MIN(ROW('03.Muestra'!$D$8:$D$42))+1,""),ROW()-1500)),"")</f>
        <v>https://www.comunidad.madrid/hospital/clinicosancarlos/declaracion-accesibilidad</v>
      </c>
      <c r="D1516" s="130" t="s">
        <v>35</v>
      </c>
      <c r="E1516" s="107" t="str">
        <f t="shared" si="78"/>
        <v/>
      </c>
      <c r="F1516" s="19"/>
      <c r="G1516" s="19"/>
      <c r="H1516" s="19"/>
      <c r="I1516" s="19"/>
      <c r="J1516" s="19"/>
      <c r="K1516" s="233"/>
      <c r="L1516" s="19"/>
    </row>
    <row r="1517" spans="1:12" ht="12" customHeight="1">
      <c r="A1517" s="219" t="str" cm="1">
        <f t="array" ref="A1517">IFERROR(INDEX('03.Muestra'!$B$8:$B$42,SMALL(IF("Página Web"='03.Muestra'!$D$8:$D$42,ROW('03.Muestra'!$B$8:$B$42)-MIN(ROW('03.Muestra'!$D$8:$D$42))+1,""),ROW()-1500)),"")</f>
        <v/>
      </c>
      <c r="B1517" s="114" t="str" cm="1">
        <f t="array" ref="B1517">IFERROR(INDEX('03.Muestra'!$C$8:$C$42,SMALL(IF("Página Web"='03.Muestra'!$D$8:$D$42,ROW('03.Muestra'!$C$8:$C$42)-MIN(ROW('03.Muestra'!$D$8:$D$42))+1,""),ROW()-1500)),"")</f>
        <v/>
      </c>
      <c r="C1517" s="114" t="str" cm="1">
        <f t="array" ref="C1517">IFERROR(INDEX('03.Muestra'!$F$8:$F$42,SMALL(IF("Página Web"='03.Muestra'!$D$8:$D$42,ROW('03.Muestra'!$F$8:$F$42)-MIN(ROW('03.Muestra'!$D$8:$D$42))+1,""),ROW()-1500)),"")</f>
        <v/>
      </c>
      <c r="D1517" s="130" t="str">
        <f t="shared" ref="D1517:D1535" si="79">IF(AND(B1517&lt;&gt;"",C1517&lt;&gt;""),"N/T","")</f>
        <v/>
      </c>
      <c r="E1517" s="107" t="str">
        <f t="shared" si="78"/>
        <v/>
      </c>
      <c r="F1517" s="19"/>
      <c r="G1517" s="19"/>
      <c r="H1517" s="19"/>
      <c r="I1517" s="19"/>
      <c r="J1517" s="19"/>
      <c r="K1517" s="233"/>
      <c r="L1517" s="19"/>
    </row>
    <row r="1518" spans="1:12" ht="12" customHeight="1">
      <c r="A1518" s="219" t="str" cm="1">
        <f t="array" ref="A1518">IFERROR(INDEX('03.Muestra'!$B$8:$B$42,SMALL(IF("Página Web"='03.Muestra'!$D$8:$D$42,ROW('03.Muestra'!$B$8:$B$42)-MIN(ROW('03.Muestra'!$D$8:$D$42))+1,""),ROW()-1500)),"")</f>
        <v/>
      </c>
      <c r="B1518" s="114" t="str" cm="1">
        <f t="array" ref="B1518">IFERROR(INDEX('03.Muestra'!$C$8:$C$42,SMALL(IF("Página Web"='03.Muestra'!$D$8:$D$42,ROW('03.Muestra'!$C$8:$C$42)-MIN(ROW('03.Muestra'!$D$8:$D$42))+1,""),ROW()-1500)),"")</f>
        <v/>
      </c>
      <c r="C1518" s="114" t="str" cm="1">
        <f t="array" ref="C1518">IFERROR(INDEX('03.Muestra'!$F$8:$F$42,SMALL(IF("Página Web"='03.Muestra'!$D$8:$D$42,ROW('03.Muestra'!$F$8:$F$42)-MIN(ROW('03.Muestra'!$D$8:$D$42))+1,""),ROW()-1500)),"")</f>
        <v/>
      </c>
      <c r="D1518" s="130" t="str">
        <f t="shared" si="79"/>
        <v/>
      </c>
      <c r="E1518" s="107" t="str">
        <f t="shared" si="78"/>
        <v/>
      </c>
      <c r="F1518" s="19"/>
      <c r="G1518" s="19"/>
      <c r="H1518" s="19"/>
      <c r="I1518" s="19"/>
      <c r="J1518" s="19"/>
      <c r="K1518" s="233"/>
      <c r="L1518" s="19"/>
    </row>
    <row r="1519" spans="1:12" ht="12" customHeight="1">
      <c r="A1519" s="219" t="str" cm="1">
        <f t="array" ref="A1519">IFERROR(INDEX('03.Muestra'!$B$8:$B$42,SMALL(IF("Página Web"='03.Muestra'!$D$8:$D$42,ROW('03.Muestra'!$B$8:$B$42)-MIN(ROW('03.Muestra'!$D$8:$D$42))+1,""),ROW()-1500)),"")</f>
        <v/>
      </c>
      <c r="B1519" s="114" t="str" cm="1">
        <f t="array" ref="B1519">IFERROR(INDEX('03.Muestra'!$C$8:$C$42,SMALL(IF("Página Web"='03.Muestra'!$D$8:$D$42,ROW('03.Muestra'!$C$8:$C$42)-MIN(ROW('03.Muestra'!$D$8:$D$42))+1,""),ROW()-1500)),"")</f>
        <v/>
      </c>
      <c r="C1519" s="114" t="str" cm="1">
        <f t="array" ref="C1519">IFERROR(INDEX('03.Muestra'!$F$8:$F$42,SMALL(IF("Página Web"='03.Muestra'!$D$8:$D$42,ROW('03.Muestra'!$F$8:$F$42)-MIN(ROW('03.Muestra'!$D$8:$D$42))+1,""),ROW()-1500)),"")</f>
        <v/>
      </c>
      <c r="D1519" s="130" t="str">
        <f t="shared" si="79"/>
        <v/>
      </c>
      <c r="E1519" s="107" t="str">
        <f t="shared" si="78"/>
        <v/>
      </c>
      <c r="F1519" s="19"/>
      <c r="G1519" s="19"/>
      <c r="H1519" s="19"/>
      <c r="I1519" s="19"/>
      <c r="J1519" s="19"/>
      <c r="K1519" s="233"/>
      <c r="L1519" s="19"/>
    </row>
    <row r="1520" spans="1:12" ht="12" customHeight="1">
      <c r="A1520" s="219" t="str" cm="1">
        <f t="array" ref="A1520">IFERROR(INDEX('03.Muestra'!$B$8:$B$42,SMALL(IF("Página Web"='03.Muestra'!$D$8:$D$42,ROW('03.Muestra'!$B$8:$B$42)-MIN(ROW('03.Muestra'!$D$8:$D$42))+1,""),ROW()-1500)),"")</f>
        <v/>
      </c>
      <c r="B1520" s="114" t="str" cm="1">
        <f t="array" ref="B1520">IFERROR(INDEX('03.Muestra'!$C$8:$C$42,SMALL(IF("Página Web"='03.Muestra'!$D$8:$D$42,ROW('03.Muestra'!$C$8:$C$42)-MIN(ROW('03.Muestra'!$D$8:$D$42))+1,""),ROW()-1500)),"")</f>
        <v/>
      </c>
      <c r="C1520" s="114" t="str" cm="1">
        <f t="array" ref="C1520">IFERROR(INDEX('03.Muestra'!$F$8:$F$42,SMALL(IF("Página Web"='03.Muestra'!$D$8:$D$42,ROW('03.Muestra'!$F$8:$F$42)-MIN(ROW('03.Muestra'!$D$8:$D$42))+1,""),ROW()-1500)),"")</f>
        <v/>
      </c>
      <c r="D1520" s="130" t="str">
        <f t="shared" si="79"/>
        <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si="79"/>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268</v>
      </c>
      <c r="B1538" s="24" t="s">
        <v>90</v>
      </c>
      <c r="C1538" s="25" t="s">
        <v>413</v>
      </c>
      <c r="D1538" s="26" t="s">
        <v>32</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https://www.comunidad.madrid/hospital/clinicosancarlos/</v>
      </c>
      <c r="D1539" s="130" t="s">
        <v>26</v>
      </c>
      <c r="E1539" s="107" t="str">
        <f t="shared" ref="E1539:E1573" si="80">IF(D1539&lt;&gt;"",IF(AND(B1539&lt;&gt;"",C1539&lt;&gt;""),"","ERR"),"")</f>
        <v/>
      </c>
      <c r="F1539" s="115" t="s">
        <v>33</v>
      </c>
      <c r="G1539" s="116" t="s">
        <v>37</v>
      </c>
      <c r="H1539" s="117" t="s">
        <v>35</v>
      </c>
      <c r="I1539" s="118" t="s">
        <v>28</v>
      </c>
      <c r="J1539" s="119" t="s">
        <v>26</v>
      </c>
      <c r="K1539" s="226" t="s">
        <v>474</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Ciudadanos</v>
      </c>
      <c r="C1540" s="114" t="str" cm="1">
        <f t="array" ref="C1540">IFERROR(INDEX('03.Muestra'!$F$8:$F$42,SMALL(IF("Página Web"='03.Muestra'!$D$8:$D$42,ROW('03.Muestra'!$F$8:$F$42)-MIN(ROW('03.Muestra'!$D$8:$D$42))+1,""),ROW()-1538)),"")</f>
        <v>https://www.comunidad.madrid/hospital/clinicosancarlos/ciudadanos</v>
      </c>
      <c r="D1540" s="130" t="s">
        <v>26</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16</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Consultas externas</v>
      </c>
      <c r="C1541" s="114" t="str" cm="1">
        <f t="array" ref="C1541">IFERROR(INDEX('03.Muestra'!$F$8:$F$42,SMALL(IF("Página Web"='03.Muestra'!$D$8:$D$42,ROW('03.Muestra'!$F$8:$F$42)-MIN(ROW('03.Muestra'!$D$8:$D$42))+1,""),ROW()-1538)),"")</f>
        <v>https://www.comunidad.madrid/hospital/clinicosancarlos/ciudadanos/consultas-externas</v>
      </c>
      <c r="D1541" s="130" t="s">
        <v>26</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Donación</v>
      </c>
      <c r="C1542" s="114" t="str" cm="1">
        <f t="array" ref="C1542">IFERROR(INDEX('03.Muestra'!$F$8:$F$42,SMALL(IF("Página Web"='03.Muestra'!$D$8:$D$42,ROW('03.Muestra'!$F$8:$F$42)-MIN(ROW('03.Muestra'!$D$8:$D$42))+1,""),ROW()-1538)),"")</f>
        <v>https://www.comunidad.madrid/hospital/clinicosancarlos/ciudadanos/donacion-0</v>
      </c>
      <c r="D1542" s="130" t="s">
        <v>26</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Profesionales</v>
      </c>
      <c r="C1543" s="114" t="str" cm="1">
        <f t="array" ref="C1543">IFERROR(INDEX('03.Muestra'!$F$8:$F$42,SMALL(IF("Página Web"='03.Muestra'!$D$8:$D$42,ROW('03.Muestra'!$F$8:$F$42)-MIN(ROW('03.Muestra'!$D$8:$D$42))+1,""),ROW()-1538)),"")</f>
        <v>https://www.comunidad.madrid/hospital/clinicosancarlos/profesionales</v>
      </c>
      <c r="D1543" s="130" t="s">
        <v>26</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Docencia</v>
      </c>
      <c r="C1544" s="114" t="str" cm="1">
        <f t="array" ref="C1544">IFERROR(INDEX('03.Muestra'!$F$8:$F$42,SMALL(IF("Página Web"='03.Muestra'!$D$8:$D$42,ROW('03.Muestra'!$F$8:$F$42)-MIN(ROW('03.Muestra'!$D$8:$D$42))+1,""),ROW()-1538)),"")</f>
        <v>https://www.comunidad.madrid/hospital/clinicosancarlos/profesionales/docencia</v>
      </c>
      <c r="D1544" s="130" t="s">
        <v>26</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Referencia</v>
      </c>
      <c r="C1545" s="114" t="str" cm="1">
        <f t="array" ref="C1545">IFERROR(INDEX('03.Muestra'!$F$8:$F$42,SMALL(IF("Página Web"='03.Muestra'!$D$8:$D$42,ROW('03.Muestra'!$F$8:$F$42)-MIN(ROW('03.Muestra'!$D$8:$D$42))+1,""),ROW()-1538)),"")</f>
        <v>https://www.comunidad.madrid/hospital/clinicosancarlos/profesionales/unidades-referencia-nacional-redes-europeas</v>
      </c>
      <c r="D1545" s="130" t="s">
        <v>26</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Comunicación</v>
      </c>
      <c r="C1546" s="114" t="str" cm="1">
        <f t="array" ref="C1546">IFERROR(INDEX('03.Muestra'!$F$8:$F$42,SMALL(IF("Página Web"='03.Muestra'!$D$8:$D$42,ROW('03.Muestra'!$F$8:$F$42)-MIN(ROW('03.Muestra'!$D$8:$D$42))+1,""),ROW()-1538)),"")</f>
        <v>https://www.comunidad.madrid/hospital/clinicosancarlos/comunicacion</v>
      </c>
      <c r="D1546" s="130" t="s">
        <v>26</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Videoteca</v>
      </c>
      <c r="C1547" s="114" t="str" cm="1">
        <f t="array" ref="C1547">IFERROR(INDEX('03.Muestra'!$F$8:$F$42,SMALL(IF("Página Web"='03.Muestra'!$D$8:$D$42,ROW('03.Muestra'!$F$8:$F$42)-MIN(ROW('03.Muestra'!$D$8:$D$42))+1,""),ROW()-1538)),"")</f>
        <v>https://www.comunidad.madrid/hospital/clinicosancarlos/comunicacion/videoteca</v>
      </c>
      <c r="D1547" s="130" t="s">
        <v>26</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Noticias</v>
      </c>
      <c r="C1548" s="114" t="str" cm="1">
        <f t="array" ref="C1548">IFERROR(INDEX('03.Muestra'!$F$8:$F$42,SMALL(IF("Página Web"='03.Muestra'!$D$8:$D$42,ROW('03.Muestra'!$F$8:$F$42)-MIN(ROW('03.Muestra'!$D$8:$D$42))+1,""),ROW()-1538)),"")</f>
        <v>https://www.comunidad.madrid/hospital/clinicosancarlos/comunicacion/noticias</v>
      </c>
      <c r="D1548" s="130" t="s">
        <v>26</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Nosotros</v>
      </c>
      <c r="C1549" s="114" t="str" cm="1">
        <f t="array" ref="C1549">IFERROR(INDEX('03.Muestra'!$F$8:$F$42,SMALL(IF("Página Web"='03.Muestra'!$D$8:$D$42,ROW('03.Muestra'!$F$8:$F$42)-MIN(ROW('03.Muestra'!$D$8:$D$42))+1,""),ROW()-1538)),"")</f>
        <v>https://www.comunidad.madrid/hospital/clinicosancarlos/nosotros</v>
      </c>
      <c r="D1549" s="130" t="s">
        <v>26</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Gestión Ambiental</v>
      </c>
      <c r="C1550" s="114" t="str" cm="1">
        <f t="array" ref="C1550">IFERROR(INDEX('03.Muestra'!$F$8:$F$42,SMALL(IF("Página Web"='03.Muestra'!$D$8:$D$42,ROW('03.Muestra'!$F$8:$F$42)-MIN(ROW('03.Muestra'!$D$8:$D$42))+1,""),ROW()-1538)),"")</f>
        <v>https://www.comunidad.madrid/hospital/clinicosancarlos/nosotros/gestion-ambiental</v>
      </c>
      <c r="D1550" s="130" t="s">
        <v>26</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Proveedores</v>
      </c>
      <c r="C1551" s="114" t="str" cm="1">
        <f t="array" ref="C1551">IFERROR(INDEX('03.Muestra'!$F$8:$F$42,SMALL(IF("Página Web"='03.Muestra'!$D$8:$D$42,ROW('03.Muestra'!$F$8:$F$42)-MIN(ROW('03.Muestra'!$D$8:$D$42))+1,""),ROW()-1538)),"")</f>
        <v>https://www.comunidad.madrid/hospital/clinicosancarlos/nosotros/proveedores-0</v>
      </c>
      <c r="D1551" s="130" t="s">
        <v>26</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Aviso legal</v>
      </c>
      <c r="C1552" s="114" t="str" cm="1">
        <f t="array" ref="C1552">IFERROR(INDEX('03.Muestra'!$F$8:$F$42,SMALL(IF("Página Web"='03.Muestra'!$D$8:$D$42,ROW('03.Muestra'!$F$8:$F$42)-MIN(ROW('03.Muestra'!$D$8:$D$42))+1,""),ROW()-1538)),"")</f>
        <v>https://www.comunidad.madrid/hospital/clinicosancarlos/aviso-legal-privacidad</v>
      </c>
      <c r="D1552" s="130" t="s">
        <v>26</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Mapa web</v>
      </c>
      <c r="C1553" s="114" t="str" cm="1">
        <f t="array" ref="C1553">IFERROR(INDEX('03.Muestra'!$F$8:$F$42,SMALL(IF("Página Web"='03.Muestra'!$D$8:$D$42,ROW('03.Muestra'!$F$8:$F$42)-MIN(ROW('03.Muestra'!$D$8:$D$42))+1,""),ROW()-1538)),"")</f>
        <v>https://www.comunidad.madrid/hospital/clinicosancarlos/sitemap</v>
      </c>
      <c r="D1553" s="130" t="s">
        <v>26</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Accesibilidad</v>
      </c>
      <c r="C1554" s="114" t="str" cm="1">
        <f t="array" ref="C1554">IFERROR(INDEX('03.Muestra'!$F$8:$F$42,SMALL(IF("Página Web"='03.Muestra'!$D$8:$D$42,ROW('03.Muestra'!$F$8:$F$42)-MIN(ROW('03.Muestra'!$D$8:$D$42))+1,""),ROW()-1538)),"")</f>
        <v>https://www.comunidad.madrid/hospital/clinicosancarlos/declaracion-accesibilidad</v>
      </c>
      <c r="D1554" s="130" t="s">
        <v>26</v>
      </c>
      <c r="E1554" s="107" t="str">
        <f t="shared" si="80"/>
        <v/>
      </c>
      <c r="F1554" s="19"/>
      <c r="G1554" s="19"/>
      <c r="H1554" s="19"/>
      <c r="I1554" s="19"/>
      <c r="J1554" s="19"/>
      <c r="K1554" s="233"/>
      <c r="L1554" s="19"/>
    </row>
    <row r="1555" spans="1:12" ht="12" customHeight="1">
      <c r="A1555" s="219" t="str" cm="1">
        <f t="array" ref="A1555">IFERROR(INDEX('03.Muestra'!$B$8:$B$42,SMALL(IF("Página Web"='03.Muestra'!$D$8:$D$42,ROW('03.Muestra'!$B$8:$B$42)-MIN(ROW('03.Muestra'!$D$8:$D$42))+1,""),ROW()-1538)),"")</f>
        <v/>
      </c>
      <c r="B1555" s="114" t="str" cm="1">
        <f t="array" ref="B1555">IFERROR(INDEX('03.Muestra'!$C$8:$C$42,SMALL(IF("Página Web"='03.Muestra'!$D$8:$D$42,ROW('03.Muestra'!$C$8:$C$42)-MIN(ROW('03.Muestra'!$D$8:$D$42))+1,""),ROW()-1538)),"")</f>
        <v/>
      </c>
      <c r="C1555" s="114" t="str" cm="1">
        <f t="array" ref="C1555">IFERROR(INDEX('03.Muestra'!$F$8:$F$42,SMALL(IF("Página Web"='03.Muestra'!$D$8:$D$42,ROW('03.Muestra'!$F$8:$F$42)-MIN(ROW('03.Muestra'!$D$8:$D$42))+1,""),ROW()-1538)),"")</f>
        <v/>
      </c>
      <c r="D1555" s="130" t="str">
        <f t="shared" ref="D1555:D1573" si="81">IF(AND(B1555&lt;&gt;"",C1555&lt;&gt;""),"N/T","")</f>
        <v/>
      </c>
      <c r="E1555" s="107" t="str">
        <f t="shared" si="80"/>
        <v/>
      </c>
      <c r="F1555" s="19"/>
      <c r="G1555" s="19"/>
      <c r="H1555" s="19"/>
      <c r="I1555" s="19"/>
      <c r="J1555" s="19"/>
      <c r="K1555" s="233"/>
      <c r="L1555" s="19"/>
    </row>
    <row r="1556" spans="1:12" ht="12" customHeight="1">
      <c r="A1556" s="219" t="str" cm="1">
        <f t="array" ref="A1556">IFERROR(INDEX('03.Muestra'!$B$8:$B$42,SMALL(IF("Página Web"='03.Muestra'!$D$8:$D$42,ROW('03.Muestra'!$B$8:$B$42)-MIN(ROW('03.Muestra'!$D$8:$D$42))+1,""),ROW()-1538)),"")</f>
        <v/>
      </c>
      <c r="B1556" s="114" t="str" cm="1">
        <f t="array" ref="B1556">IFERROR(INDEX('03.Muestra'!$C$8:$C$42,SMALL(IF("Página Web"='03.Muestra'!$D$8:$D$42,ROW('03.Muestra'!$C$8:$C$42)-MIN(ROW('03.Muestra'!$D$8:$D$42))+1,""),ROW()-1538)),"")</f>
        <v/>
      </c>
      <c r="C1556" s="114" t="str" cm="1">
        <f t="array" ref="C1556">IFERROR(INDEX('03.Muestra'!$F$8:$F$42,SMALL(IF("Página Web"='03.Muestra'!$D$8:$D$42,ROW('03.Muestra'!$F$8:$F$42)-MIN(ROW('03.Muestra'!$D$8:$D$42))+1,""),ROW()-1538)),"")</f>
        <v/>
      </c>
      <c r="D1556" s="130" t="str">
        <f t="shared" si="81"/>
        <v/>
      </c>
      <c r="E1556" s="107" t="str">
        <f t="shared" si="80"/>
        <v/>
      </c>
      <c r="F1556" s="19"/>
      <c r="G1556" s="19"/>
      <c r="H1556" s="19"/>
      <c r="I1556" s="19"/>
      <c r="J1556" s="19"/>
      <c r="K1556" s="233"/>
      <c r="L1556" s="19"/>
    </row>
    <row r="1557" spans="1:12" ht="12" customHeight="1">
      <c r="A1557" s="219" t="str" cm="1">
        <f t="array" ref="A1557">IFERROR(INDEX('03.Muestra'!$B$8:$B$42,SMALL(IF("Página Web"='03.Muestra'!$D$8:$D$42,ROW('03.Muestra'!$B$8:$B$42)-MIN(ROW('03.Muestra'!$D$8:$D$42))+1,""),ROW()-1538)),"")</f>
        <v/>
      </c>
      <c r="B1557" s="114" t="str" cm="1">
        <f t="array" ref="B1557">IFERROR(INDEX('03.Muestra'!$C$8:$C$42,SMALL(IF("Página Web"='03.Muestra'!$D$8:$D$42,ROW('03.Muestra'!$C$8:$C$42)-MIN(ROW('03.Muestra'!$D$8:$D$42))+1,""),ROW()-1538)),"")</f>
        <v/>
      </c>
      <c r="C1557" s="114" t="str" cm="1">
        <f t="array" ref="C1557">IFERROR(INDEX('03.Muestra'!$F$8:$F$42,SMALL(IF("Página Web"='03.Muestra'!$D$8:$D$42,ROW('03.Muestra'!$F$8:$F$42)-MIN(ROW('03.Muestra'!$D$8:$D$42))+1,""),ROW()-1538)),"")</f>
        <v/>
      </c>
      <c r="D1557" s="130" t="str">
        <f t="shared" si="81"/>
        <v/>
      </c>
      <c r="E1557" s="107" t="str">
        <f t="shared" si="80"/>
        <v/>
      </c>
      <c r="F1557" s="19"/>
      <c r="G1557" s="19"/>
      <c r="H1557" s="19"/>
      <c r="I1557" s="19"/>
      <c r="J1557" s="19"/>
      <c r="K1557" s="233"/>
      <c r="L1557" s="19"/>
    </row>
    <row r="1558" spans="1:12" ht="12" customHeight="1">
      <c r="A1558" s="219" t="str" cm="1">
        <f t="array" ref="A1558">IFERROR(INDEX('03.Muestra'!$B$8:$B$42,SMALL(IF("Página Web"='03.Muestra'!$D$8:$D$42,ROW('03.Muestra'!$B$8:$B$42)-MIN(ROW('03.Muestra'!$D$8:$D$42))+1,""),ROW()-1538)),"")</f>
        <v/>
      </c>
      <c r="B1558" s="114" t="str" cm="1">
        <f t="array" ref="B1558">IFERROR(INDEX('03.Muestra'!$C$8:$C$42,SMALL(IF("Página Web"='03.Muestra'!$D$8:$D$42,ROW('03.Muestra'!$C$8:$C$42)-MIN(ROW('03.Muestra'!$D$8:$D$42))+1,""),ROW()-1538)),"")</f>
        <v/>
      </c>
      <c r="C1558" s="114" t="str" cm="1">
        <f t="array" ref="C1558">IFERROR(INDEX('03.Muestra'!$F$8:$F$42,SMALL(IF("Página Web"='03.Muestra'!$D$8:$D$42,ROW('03.Muestra'!$F$8:$F$42)-MIN(ROW('03.Muestra'!$D$8:$D$42))+1,""),ROW()-1538)),"")</f>
        <v/>
      </c>
      <c r="D1558" s="130" t="str">
        <f t="shared" si="81"/>
        <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si="81"/>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268</v>
      </c>
      <c r="B1576" s="24" t="s">
        <v>90</v>
      </c>
      <c r="C1576" s="25" t="s">
        <v>414</v>
      </c>
      <c r="D1576" s="26" t="s">
        <v>32</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https://www.comunidad.madrid/hospital/clinicosancarlos/</v>
      </c>
      <c r="D1577" s="130" t="s">
        <v>26</v>
      </c>
      <c r="E1577" s="107" t="str">
        <f t="shared" ref="E1577:E1611" si="82">IF(D1577&lt;&gt;"",IF(AND(B1577&lt;&gt;"",C1577&lt;&gt;""),"","ERR"),"")</f>
        <v/>
      </c>
      <c r="F1577" s="115" t="s">
        <v>33</v>
      </c>
      <c r="G1577" s="116" t="s">
        <v>37</v>
      </c>
      <c r="H1577" s="117" t="s">
        <v>35</v>
      </c>
      <c r="I1577" s="118" t="s">
        <v>28</v>
      </c>
      <c r="J1577" s="119" t="s">
        <v>26</v>
      </c>
      <c r="K1577" s="226" t="s">
        <v>474</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Ciudadanos</v>
      </c>
      <c r="C1578" s="114" t="str" cm="1">
        <f t="array" ref="C1578">IFERROR(INDEX('03.Muestra'!$F$8:$F$42,SMALL(IF("Página Web"='03.Muestra'!$D$8:$D$42,ROW('03.Muestra'!$F$8:$F$42)-MIN(ROW('03.Muestra'!$D$8:$D$42))+1,""),ROW()-1576)),"")</f>
        <v>https://www.comunidad.madrid/hospital/clinicosancarlos/ciudadanos</v>
      </c>
      <c r="D1578" s="130" t="s">
        <v>26</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16</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Consultas externas</v>
      </c>
      <c r="C1579" s="114" t="str" cm="1">
        <f t="array" ref="C1579">IFERROR(INDEX('03.Muestra'!$F$8:$F$42,SMALL(IF("Página Web"='03.Muestra'!$D$8:$D$42,ROW('03.Muestra'!$F$8:$F$42)-MIN(ROW('03.Muestra'!$D$8:$D$42))+1,""),ROW()-1576)),"")</f>
        <v>https://www.comunidad.madrid/hospital/clinicosancarlos/ciudadanos/consultas-externas</v>
      </c>
      <c r="D1579" s="130" t="s">
        <v>26</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Donación</v>
      </c>
      <c r="C1580" s="114" t="str" cm="1">
        <f t="array" ref="C1580">IFERROR(INDEX('03.Muestra'!$F$8:$F$42,SMALL(IF("Página Web"='03.Muestra'!$D$8:$D$42,ROW('03.Muestra'!$F$8:$F$42)-MIN(ROW('03.Muestra'!$D$8:$D$42))+1,""),ROW()-1576)),"")</f>
        <v>https://www.comunidad.madrid/hospital/clinicosancarlos/ciudadanos/donacion-0</v>
      </c>
      <c r="D1580" s="130" t="s">
        <v>26</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Profesionales</v>
      </c>
      <c r="C1581" s="114" t="str" cm="1">
        <f t="array" ref="C1581">IFERROR(INDEX('03.Muestra'!$F$8:$F$42,SMALL(IF("Página Web"='03.Muestra'!$D$8:$D$42,ROW('03.Muestra'!$F$8:$F$42)-MIN(ROW('03.Muestra'!$D$8:$D$42))+1,""),ROW()-1576)),"")</f>
        <v>https://www.comunidad.madrid/hospital/clinicosancarlos/profesionales</v>
      </c>
      <c r="D1581" s="130" t="s">
        <v>26</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Docencia</v>
      </c>
      <c r="C1582" s="114" t="str" cm="1">
        <f t="array" ref="C1582">IFERROR(INDEX('03.Muestra'!$F$8:$F$42,SMALL(IF("Página Web"='03.Muestra'!$D$8:$D$42,ROW('03.Muestra'!$F$8:$F$42)-MIN(ROW('03.Muestra'!$D$8:$D$42))+1,""),ROW()-1576)),"")</f>
        <v>https://www.comunidad.madrid/hospital/clinicosancarlos/profesionales/docencia</v>
      </c>
      <c r="D1582" s="130" t="s">
        <v>26</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Referencia</v>
      </c>
      <c r="C1583" s="114" t="str" cm="1">
        <f t="array" ref="C1583">IFERROR(INDEX('03.Muestra'!$F$8:$F$42,SMALL(IF("Página Web"='03.Muestra'!$D$8:$D$42,ROW('03.Muestra'!$F$8:$F$42)-MIN(ROW('03.Muestra'!$D$8:$D$42))+1,""),ROW()-1576)),"")</f>
        <v>https://www.comunidad.madrid/hospital/clinicosancarlos/profesionales/unidades-referencia-nacional-redes-europeas</v>
      </c>
      <c r="D1583" s="130" t="s">
        <v>26</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Comunicación</v>
      </c>
      <c r="C1584" s="114" t="str" cm="1">
        <f t="array" ref="C1584">IFERROR(INDEX('03.Muestra'!$F$8:$F$42,SMALL(IF("Página Web"='03.Muestra'!$D$8:$D$42,ROW('03.Muestra'!$F$8:$F$42)-MIN(ROW('03.Muestra'!$D$8:$D$42))+1,""),ROW()-1576)),"")</f>
        <v>https://www.comunidad.madrid/hospital/clinicosancarlos/comunicacion</v>
      </c>
      <c r="D1584" s="130" t="s">
        <v>26</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Videoteca</v>
      </c>
      <c r="C1585" s="114" t="str" cm="1">
        <f t="array" ref="C1585">IFERROR(INDEX('03.Muestra'!$F$8:$F$42,SMALL(IF("Página Web"='03.Muestra'!$D$8:$D$42,ROW('03.Muestra'!$F$8:$F$42)-MIN(ROW('03.Muestra'!$D$8:$D$42))+1,""),ROW()-1576)),"")</f>
        <v>https://www.comunidad.madrid/hospital/clinicosancarlos/comunicacion/videoteca</v>
      </c>
      <c r="D1585" s="130" t="s">
        <v>26</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Noticias</v>
      </c>
      <c r="C1586" s="114" t="str" cm="1">
        <f t="array" ref="C1586">IFERROR(INDEX('03.Muestra'!$F$8:$F$42,SMALL(IF("Página Web"='03.Muestra'!$D$8:$D$42,ROW('03.Muestra'!$F$8:$F$42)-MIN(ROW('03.Muestra'!$D$8:$D$42))+1,""),ROW()-1576)),"")</f>
        <v>https://www.comunidad.madrid/hospital/clinicosancarlos/comunicacion/noticias</v>
      </c>
      <c r="D1586" s="130" t="s">
        <v>26</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Nosotros</v>
      </c>
      <c r="C1587" s="114" t="str" cm="1">
        <f t="array" ref="C1587">IFERROR(INDEX('03.Muestra'!$F$8:$F$42,SMALL(IF("Página Web"='03.Muestra'!$D$8:$D$42,ROW('03.Muestra'!$F$8:$F$42)-MIN(ROW('03.Muestra'!$D$8:$D$42))+1,""),ROW()-1576)),"")</f>
        <v>https://www.comunidad.madrid/hospital/clinicosancarlos/nosotros</v>
      </c>
      <c r="D1587" s="130" t="s">
        <v>26</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Gestión Ambiental</v>
      </c>
      <c r="C1588" s="114" t="str" cm="1">
        <f t="array" ref="C1588">IFERROR(INDEX('03.Muestra'!$F$8:$F$42,SMALL(IF("Página Web"='03.Muestra'!$D$8:$D$42,ROW('03.Muestra'!$F$8:$F$42)-MIN(ROW('03.Muestra'!$D$8:$D$42))+1,""),ROW()-1576)),"")</f>
        <v>https://www.comunidad.madrid/hospital/clinicosancarlos/nosotros/gestion-ambiental</v>
      </c>
      <c r="D1588" s="130" t="s">
        <v>26</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Proveedores</v>
      </c>
      <c r="C1589" s="114" t="str" cm="1">
        <f t="array" ref="C1589">IFERROR(INDEX('03.Muestra'!$F$8:$F$42,SMALL(IF("Página Web"='03.Muestra'!$D$8:$D$42,ROW('03.Muestra'!$F$8:$F$42)-MIN(ROW('03.Muestra'!$D$8:$D$42))+1,""),ROW()-1576)),"")</f>
        <v>https://www.comunidad.madrid/hospital/clinicosancarlos/nosotros/proveedores-0</v>
      </c>
      <c r="D1589" s="130" t="s">
        <v>26</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Aviso legal</v>
      </c>
      <c r="C1590" s="114" t="str" cm="1">
        <f t="array" ref="C1590">IFERROR(INDEX('03.Muestra'!$F$8:$F$42,SMALL(IF("Página Web"='03.Muestra'!$D$8:$D$42,ROW('03.Muestra'!$F$8:$F$42)-MIN(ROW('03.Muestra'!$D$8:$D$42))+1,""),ROW()-1576)),"")</f>
        <v>https://www.comunidad.madrid/hospital/clinicosancarlos/aviso-legal-privacidad</v>
      </c>
      <c r="D1590" s="130" t="s">
        <v>26</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Mapa web</v>
      </c>
      <c r="C1591" s="114" t="str" cm="1">
        <f t="array" ref="C1591">IFERROR(INDEX('03.Muestra'!$F$8:$F$42,SMALL(IF("Página Web"='03.Muestra'!$D$8:$D$42,ROW('03.Muestra'!$F$8:$F$42)-MIN(ROW('03.Muestra'!$D$8:$D$42))+1,""),ROW()-1576)),"")</f>
        <v>https://www.comunidad.madrid/hospital/clinicosancarlos/sitemap</v>
      </c>
      <c r="D1591" s="130" t="s">
        <v>26</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Accesibilidad</v>
      </c>
      <c r="C1592" s="114" t="str" cm="1">
        <f t="array" ref="C1592">IFERROR(INDEX('03.Muestra'!$F$8:$F$42,SMALL(IF("Página Web"='03.Muestra'!$D$8:$D$42,ROW('03.Muestra'!$F$8:$F$42)-MIN(ROW('03.Muestra'!$D$8:$D$42))+1,""),ROW()-1576)),"")</f>
        <v>https://www.comunidad.madrid/hospital/clinicosancarlos/declaracion-accesibilidad</v>
      </c>
      <c r="D1592" s="130" t="s">
        <v>26</v>
      </c>
      <c r="E1592" s="107" t="str">
        <f t="shared" si="82"/>
        <v/>
      </c>
      <c r="F1592" s="19"/>
      <c r="G1592" s="19"/>
      <c r="H1592" s="19"/>
      <c r="I1592" s="19"/>
      <c r="J1592" s="19"/>
      <c r="K1592" s="233"/>
      <c r="L1592" s="19"/>
    </row>
    <row r="1593" spans="1:12" ht="12" customHeight="1">
      <c r="A1593" s="219" t="str" cm="1">
        <f t="array" ref="A1593">IFERROR(INDEX('03.Muestra'!$B$8:$B$42,SMALL(IF("Página Web"='03.Muestra'!$D$8:$D$42,ROW('03.Muestra'!$B$8:$B$42)-MIN(ROW('03.Muestra'!$D$8:$D$42))+1,""),ROW()-1576)),"")</f>
        <v/>
      </c>
      <c r="B1593" s="114" t="str" cm="1">
        <f t="array" ref="B1593">IFERROR(INDEX('03.Muestra'!$C$8:$C$42,SMALL(IF("Página Web"='03.Muestra'!$D$8:$D$42,ROW('03.Muestra'!$C$8:$C$42)-MIN(ROW('03.Muestra'!$D$8:$D$42))+1,""),ROW()-1576)),"")</f>
        <v/>
      </c>
      <c r="C1593" s="114" t="str" cm="1">
        <f t="array" ref="C1593">IFERROR(INDEX('03.Muestra'!$F$8:$F$42,SMALL(IF("Página Web"='03.Muestra'!$D$8:$D$42,ROW('03.Muestra'!$F$8:$F$42)-MIN(ROW('03.Muestra'!$D$8:$D$42))+1,""),ROW()-1576)),"")</f>
        <v/>
      </c>
      <c r="D1593" s="130" t="str">
        <f t="shared" ref="D1593:D1611" si="83">IF(AND(B1593&lt;&gt;"",C1593&lt;&gt;""),"N/T","")</f>
        <v/>
      </c>
      <c r="E1593" s="107" t="str">
        <f t="shared" si="82"/>
        <v/>
      </c>
      <c r="F1593" s="19"/>
      <c r="G1593" s="19"/>
      <c r="H1593" s="19"/>
      <c r="I1593" s="19"/>
      <c r="J1593" s="19"/>
      <c r="K1593" s="233"/>
      <c r="L1593" s="19"/>
    </row>
    <row r="1594" spans="1:12" ht="12" customHeight="1">
      <c r="A1594" s="219" t="str" cm="1">
        <f t="array" ref="A1594">IFERROR(INDEX('03.Muestra'!$B$8:$B$42,SMALL(IF("Página Web"='03.Muestra'!$D$8:$D$42,ROW('03.Muestra'!$B$8:$B$42)-MIN(ROW('03.Muestra'!$D$8:$D$42))+1,""),ROW()-1576)),"")</f>
        <v/>
      </c>
      <c r="B1594" s="114" t="str" cm="1">
        <f t="array" ref="B1594">IFERROR(INDEX('03.Muestra'!$C$8:$C$42,SMALL(IF("Página Web"='03.Muestra'!$D$8:$D$42,ROW('03.Muestra'!$C$8:$C$42)-MIN(ROW('03.Muestra'!$D$8:$D$42))+1,""),ROW()-1576)),"")</f>
        <v/>
      </c>
      <c r="C1594" s="114" t="str" cm="1">
        <f t="array" ref="C1594">IFERROR(INDEX('03.Muestra'!$F$8:$F$42,SMALL(IF("Página Web"='03.Muestra'!$D$8:$D$42,ROW('03.Muestra'!$F$8:$F$42)-MIN(ROW('03.Muestra'!$D$8:$D$42))+1,""),ROW()-1576)),"")</f>
        <v/>
      </c>
      <c r="D1594" s="130" t="str">
        <f t="shared" si="83"/>
        <v/>
      </c>
      <c r="E1594" s="107" t="str">
        <f t="shared" si="82"/>
        <v/>
      </c>
      <c r="F1594" s="19"/>
      <c r="G1594" s="19"/>
      <c r="H1594" s="19"/>
      <c r="I1594" s="19"/>
      <c r="J1594" s="19"/>
      <c r="K1594" s="233"/>
      <c r="L1594" s="19"/>
    </row>
    <row r="1595" spans="1:12" ht="12" customHeight="1">
      <c r="A1595" s="219" t="str" cm="1">
        <f t="array" ref="A1595">IFERROR(INDEX('03.Muestra'!$B$8:$B$42,SMALL(IF("Página Web"='03.Muestra'!$D$8:$D$42,ROW('03.Muestra'!$B$8:$B$42)-MIN(ROW('03.Muestra'!$D$8:$D$42))+1,""),ROW()-1576)),"")</f>
        <v/>
      </c>
      <c r="B1595" s="114" t="str" cm="1">
        <f t="array" ref="B1595">IFERROR(INDEX('03.Muestra'!$C$8:$C$42,SMALL(IF("Página Web"='03.Muestra'!$D$8:$D$42,ROW('03.Muestra'!$C$8:$C$42)-MIN(ROW('03.Muestra'!$D$8:$D$42))+1,""),ROW()-1576)),"")</f>
        <v/>
      </c>
      <c r="C1595" s="114" t="str" cm="1">
        <f t="array" ref="C1595">IFERROR(INDEX('03.Muestra'!$F$8:$F$42,SMALL(IF("Página Web"='03.Muestra'!$D$8:$D$42,ROW('03.Muestra'!$F$8:$F$42)-MIN(ROW('03.Muestra'!$D$8:$D$42))+1,""),ROW()-1576)),"")</f>
        <v/>
      </c>
      <c r="D1595" s="130" t="str">
        <f t="shared" si="83"/>
        <v/>
      </c>
      <c r="E1595" s="107" t="str">
        <f t="shared" si="82"/>
        <v/>
      </c>
      <c r="F1595" s="19"/>
      <c r="G1595" s="19"/>
      <c r="H1595" s="19"/>
      <c r="I1595" s="19"/>
      <c r="J1595" s="19"/>
      <c r="K1595" s="233"/>
      <c r="L1595" s="19"/>
    </row>
    <row r="1596" spans="1:12" ht="12" customHeight="1">
      <c r="A1596" s="219" t="str" cm="1">
        <f t="array" ref="A1596">IFERROR(INDEX('03.Muestra'!$B$8:$B$42,SMALL(IF("Página Web"='03.Muestra'!$D$8:$D$42,ROW('03.Muestra'!$B$8:$B$42)-MIN(ROW('03.Muestra'!$D$8:$D$42))+1,""),ROW()-1576)),"")</f>
        <v/>
      </c>
      <c r="B1596" s="114" t="str" cm="1">
        <f t="array" ref="B1596">IFERROR(INDEX('03.Muestra'!$C$8:$C$42,SMALL(IF("Página Web"='03.Muestra'!$D$8:$D$42,ROW('03.Muestra'!$C$8:$C$42)-MIN(ROW('03.Muestra'!$D$8:$D$42))+1,""),ROW()-1576)),"")</f>
        <v/>
      </c>
      <c r="C1596" s="114" t="str" cm="1">
        <f t="array" ref="C1596">IFERROR(INDEX('03.Muestra'!$F$8:$F$42,SMALL(IF("Página Web"='03.Muestra'!$D$8:$D$42,ROW('03.Muestra'!$F$8:$F$42)-MIN(ROW('03.Muestra'!$D$8:$D$42))+1,""),ROW()-1576)),"")</f>
        <v/>
      </c>
      <c r="D1596" s="130" t="str">
        <f t="shared" si="83"/>
        <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si="83"/>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268</v>
      </c>
      <c r="B1614" s="24" t="s">
        <v>90</v>
      </c>
      <c r="C1614" s="25" t="s">
        <v>415</v>
      </c>
      <c r="D1614" s="26" t="s">
        <v>32</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https://www.comunidad.madrid/hospital/clinicosancarlos/</v>
      </c>
      <c r="D1615" s="130" t="s">
        <v>35</v>
      </c>
      <c r="E1615" s="107" t="str">
        <f t="shared" ref="E1615:E1649" si="84">IF(D1615&lt;&gt;"",IF(AND(B1615&lt;&gt;"",C1615&lt;&gt;""),"","ERR"),"")</f>
        <v/>
      </c>
      <c r="F1615" s="115" t="s">
        <v>33</v>
      </c>
      <c r="G1615" s="116" t="s">
        <v>37</v>
      </c>
      <c r="H1615" s="117" t="s">
        <v>35</v>
      </c>
      <c r="I1615" s="118" t="s">
        <v>28</v>
      </c>
      <c r="J1615" s="119" t="s">
        <v>26</v>
      </c>
      <c r="K1615" s="226" t="s">
        <v>474</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Ciudadanos</v>
      </c>
      <c r="C1616" s="114" t="str" cm="1">
        <f t="array" ref="C1616">IFERROR(INDEX('03.Muestra'!$F$8:$F$42,SMALL(IF("Página Web"='03.Muestra'!$D$8:$D$42,ROW('03.Muestra'!$F$8:$F$42)-MIN(ROW('03.Muestra'!$D$8:$D$42))+1,""),ROW()-1614)),"")</f>
        <v>https://www.comunidad.madrid/hospital/clinicosancarlos/ciudadanos</v>
      </c>
      <c r="D1616" s="130" t="s">
        <v>35</v>
      </c>
      <c r="E1616" s="107" t="str">
        <f t="shared" si="84"/>
        <v/>
      </c>
      <c r="F1616" s="120">
        <f ca="1">COUNTIF($D1615:INDIRECT("$D" &amp;  SUM(ROW()-1,'03.Muestra'!$D$45)-1),F1615)</f>
        <v>0</v>
      </c>
      <c r="G1616" s="120">
        <f ca="1">COUNTIF($D1615:INDIRECT("$D" &amp;  SUM(ROW()-1,'03.Muestra'!$D$45)-1),G1615)</f>
        <v>0</v>
      </c>
      <c r="H1616" s="120">
        <f ca="1">COUNTIF($D1615:INDIRECT("$D" &amp;  SUM(ROW()-1,'03.Muestra'!$D$45)-1),H1615)</f>
        <v>16</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Consultas externas</v>
      </c>
      <c r="C1617" s="114" t="str" cm="1">
        <f t="array" ref="C1617">IFERROR(INDEX('03.Muestra'!$F$8:$F$42,SMALL(IF("Página Web"='03.Muestra'!$D$8:$D$42,ROW('03.Muestra'!$F$8:$F$42)-MIN(ROW('03.Muestra'!$D$8:$D$42))+1,""),ROW()-1614)),"")</f>
        <v>https://www.comunidad.madrid/hospital/clinicosancarlos/ciudadanos/consultas-externas</v>
      </c>
      <c r="D1617" s="130" t="s">
        <v>35</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Donación</v>
      </c>
      <c r="C1618" s="114" t="str" cm="1">
        <f t="array" ref="C1618">IFERROR(INDEX('03.Muestra'!$F$8:$F$42,SMALL(IF("Página Web"='03.Muestra'!$D$8:$D$42,ROW('03.Muestra'!$F$8:$F$42)-MIN(ROW('03.Muestra'!$D$8:$D$42))+1,""),ROW()-1614)),"")</f>
        <v>https://www.comunidad.madrid/hospital/clinicosancarlos/ciudadanos/donacion-0</v>
      </c>
      <c r="D1618" s="130" t="s">
        <v>35</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Profesionales</v>
      </c>
      <c r="C1619" s="114" t="str" cm="1">
        <f t="array" ref="C1619">IFERROR(INDEX('03.Muestra'!$F$8:$F$42,SMALL(IF("Página Web"='03.Muestra'!$D$8:$D$42,ROW('03.Muestra'!$F$8:$F$42)-MIN(ROW('03.Muestra'!$D$8:$D$42))+1,""),ROW()-1614)),"")</f>
        <v>https://www.comunidad.madrid/hospital/clinicosancarlos/profesionales</v>
      </c>
      <c r="D1619" s="130" t="s">
        <v>35</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Docencia</v>
      </c>
      <c r="C1620" s="114" t="str" cm="1">
        <f t="array" ref="C1620">IFERROR(INDEX('03.Muestra'!$F$8:$F$42,SMALL(IF("Página Web"='03.Muestra'!$D$8:$D$42,ROW('03.Muestra'!$F$8:$F$42)-MIN(ROW('03.Muestra'!$D$8:$D$42))+1,""),ROW()-1614)),"")</f>
        <v>https://www.comunidad.madrid/hospital/clinicosancarlos/profesionales/docencia</v>
      </c>
      <c r="D1620" s="130" t="s">
        <v>35</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Referencia</v>
      </c>
      <c r="C1621" s="114" t="str" cm="1">
        <f t="array" ref="C1621">IFERROR(INDEX('03.Muestra'!$F$8:$F$42,SMALL(IF("Página Web"='03.Muestra'!$D$8:$D$42,ROW('03.Muestra'!$F$8:$F$42)-MIN(ROW('03.Muestra'!$D$8:$D$42))+1,""),ROW()-1614)),"")</f>
        <v>https://www.comunidad.madrid/hospital/clinicosancarlos/profesionales/unidades-referencia-nacional-redes-europeas</v>
      </c>
      <c r="D1621" s="130" t="s">
        <v>35</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Comunicación</v>
      </c>
      <c r="C1622" s="114" t="str" cm="1">
        <f t="array" ref="C1622">IFERROR(INDEX('03.Muestra'!$F$8:$F$42,SMALL(IF("Página Web"='03.Muestra'!$D$8:$D$42,ROW('03.Muestra'!$F$8:$F$42)-MIN(ROW('03.Muestra'!$D$8:$D$42))+1,""),ROW()-1614)),"")</f>
        <v>https://www.comunidad.madrid/hospital/clinicosancarlos/comunicacion</v>
      </c>
      <c r="D1622" s="130" t="s">
        <v>35</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Videoteca</v>
      </c>
      <c r="C1623" s="114" t="str" cm="1">
        <f t="array" ref="C1623">IFERROR(INDEX('03.Muestra'!$F$8:$F$42,SMALL(IF("Página Web"='03.Muestra'!$D$8:$D$42,ROW('03.Muestra'!$F$8:$F$42)-MIN(ROW('03.Muestra'!$D$8:$D$42))+1,""),ROW()-1614)),"")</f>
        <v>https://www.comunidad.madrid/hospital/clinicosancarlos/comunicacion/videoteca</v>
      </c>
      <c r="D1623" s="130" t="s">
        <v>35</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Noticias</v>
      </c>
      <c r="C1624" s="114" t="str" cm="1">
        <f t="array" ref="C1624">IFERROR(INDEX('03.Muestra'!$F$8:$F$42,SMALL(IF("Página Web"='03.Muestra'!$D$8:$D$42,ROW('03.Muestra'!$F$8:$F$42)-MIN(ROW('03.Muestra'!$D$8:$D$42))+1,""),ROW()-1614)),"")</f>
        <v>https://www.comunidad.madrid/hospital/clinicosancarlos/comunicacion/noticias</v>
      </c>
      <c r="D1624" s="130" t="s">
        <v>35</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Nosotros</v>
      </c>
      <c r="C1625" s="114" t="str" cm="1">
        <f t="array" ref="C1625">IFERROR(INDEX('03.Muestra'!$F$8:$F$42,SMALL(IF("Página Web"='03.Muestra'!$D$8:$D$42,ROW('03.Muestra'!$F$8:$F$42)-MIN(ROW('03.Muestra'!$D$8:$D$42))+1,""),ROW()-1614)),"")</f>
        <v>https://www.comunidad.madrid/hospital/clinicosancarlos/nosotros</v>
      </c>
      <c r="D1625" s="130" t="s">
        <v>35</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Gestión Ambiental</v>
      </c>
      <c r="C1626" s="114" t="str" cm="1">
        <f t="array" ref="C1626">IFERROR(INDEX('03.Muestra'!$F$8:$F$42,SMALL(IF("Página Web"='03.Muestra'!$D$8:$D$42,ROW('03.Muestra'!$F$8:$F$42)-MIN(ROW('03.Muestra'!$D$8:$D$42))+1,""),ROW()-1614)),"")</f>
        <v>https://www.comunidad.madrid/hospital/clinicosancarlos/nosotros/gestion-ambiental</v>
      </c>
      <c r="D1626" s="130" t="s">
        <v>35</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Proveedores</v>
      </c>
      <c r="C1627" s="114" t="str" cm="1">
        <f t="array" ref="C1627">IFERROR(INDEX('03.Muestra'!$F$8:$F$42,SMALL(IF("Página Web"='03.Muestra'!$D$8:$D$42,ROW('03.Muestra'!$F$8:$F$42)-MIN(ROW('03.Muestra'!$D$8:$D$42))+1,""),ROW()-1614)),"")</f>
        <v>https://www.comunidad.madrid/hospital/clinicosancarlos/nosotros/proveedores-0</v>
      </c>
      <c r="D1627" s="130" t="s">
        <v>35</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Aviso legal</v>
      </c>
      <c r="C1628" s="114" t="str" cm="1">
        <f t="array" ref="C1628">IFERROR(INDEX('03.Muestra'!$F$8:$F$42,SMALL(IF("Página Web"='03.Muestra'!$D$8:$D$42,ROW('03.Muestra'!$F$8:$F$42)-MIN(ROW('03.Muestra'!$D$8:$D$42))+1,""),ROW()-1614)),"")</f>
        <v>https://www.comunidad.madrid/hospital/clinicosancarlos/aviso-legal-privacidad</v>
      </c>
      <c r="D1628" s="130" t="s">
        <v>35</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Mapa web</v>
      </c>
      <c r="C1629" s="114" t="str" cm="1">
        <f t="array" ref="C1629">IFERROR(INDEX('03.Muestra'!$F$8:$F$42,SMALL(IF("Página Web"='03.Muestra'!$D$8:$D$42,ROW('03.Muestra'!$F$8:$F$42)-MIN(ROW('03.Muestra'!$D$8:$D$42))+1,""),ROW()-1614)),"")</f>
        <v>https://www.comunidad.madrid/hospital/clinicosancarlos/sitemap</v>
      </c>
      <c r="D1629" s="130" t="s">
        <v>35</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Accesibilidad</v>
      </c>
      <c r="C1630" s="114" t="str" cm="1">
        <f t="array" ref="C1630">IFERROR(INDEX('03.Muestra'!$F$8:$F$42,SMALL(IF("Página Web"='03.Muestra'!$D$8:$D$42,ROW('03.Muestra'!$F$8:$F$42)-MIN(ROW('03.Muestra'!$D$8:$D$42))+1,""),ROW()-1614)),"")</f>
        <v>https://www.comunidad.madrid/hospital/clinicosancarlos/declaracion-accesibilidad</v>
      </c>
      <c r="D1630" s="130" t="s">
        <v>35</v>
      </c>
      <c r="E1630" s="107" t="str">
        <f t="shared" si="84"/>
        <v/>
      </c>
      <c r="F1630" s="19"/>
      <c r="G1630" s="19"/>
      <c r="H1630" s="19"/>
      <c r="I1630" s="19"/>
      <c r="J1630" s="19"/>
      <c r="K1630" s="233"/>
    </row>
    <row r="1631" spans="1:11" ht="12" customHeight="1">
      <c r="A1631" s="219" t="str" cm="1">
        <f t="array" ref="A1631">IFERROR(INDEX('03.Muestra'!$B$8:$B$42,SMALL(IF("Página Web"='03.Muestra'!$D$8:$D$42,ROW('03.Muestra'!$B$8:$B$42)-MIN(ROW('03.Muestra'!$D$8:$D$42))+1,""),ROW()-1614)),"")</f>
        <v/>
      </c>
      <c r="B1631" s="114" t="str" cm="1">
        <f t="array" ref="B1631">IFERROR(INDEX('03.Muestra'!$C$8:$C$42,SMALL(IF("Página Web"='03.Muestra'!$D$8:$D$42,ROW('03.Muestra'!$C$8:$C$42)-MIN(ROW('03.Muestra'!$D$8:$D$42))+1,""),ROW()-1614)),"")</f>
        <v/>
      </c>
      <c r="C1631" s="114" t="str" cm="1">
        <f t="array" ref="C1631">IFERROR(INDEX('03.Muestra'!$F$8:$F$42,SMALL(IF("Página Web"='03.Muestra'!$D$8:$D$42,ROW('03.Muestra'!$F$8:$F$42)-MIN(ROW('03.Muestra'!$D$8:$D$42))+1,""),ROW()-1614)),"")</f>
        <v/>
      </c>
      <c r="D1631" s="130" t="str">
        <f t="shared" ref="D1631:D1649" si="85">IF(AND(B1631&lt;&gt;"",C1631&lt;&gt;""),"N/T","")</f>
        <v/>
      </c>
      <c r="E1631" s="107" t="str">
        <f t="shared" si="84"/>
        <v/>
      </c>
      <c r="F1631" s="19"/>
      <c r="G1631" s="19"/>
      <c r="H1631" s="19"/>
      <c r="I1631" s="19"/>
      <c r="J1631" s="19"/>
      <c r="K1631" s="233"/>
    </row>
    <row r="1632" spans="1:11" ht="12" customHeight="1">
      <c r="A1632" s="219" t="str" cm="1">
        <f t="array" ref="A1632">IFERROR(INDEX('03.Muestra'!$B$8:$B$42,SMALL(IF("Página Web"='03.Muestra'!$D$8:$D$42,ROW('03.Muestra'!$B$8:$B$42)-MIN(ROW('03.Muestra'!$D$8:$D$42))+1,""),ROW()-1614)),"")</f>
        <v/>
      </c>
      <c r="B1632" s="114" t="str" cm="1">
        <f t="array" ref="B1632">IFERROR(INDEX('03.Muestra'!$C$8:$C$42,SMALL(IF("Página Web"='03.Muestra'!$D$8:$D$42,ROW('03.Muestra'!$C$8:$C$42)-MIN(ROW('03.Muestra'!$D$8:$D$42))+1,""),ROW()-1614)),"")</f>
        <v/>
      </c>
      <c r="C1632" s="114" t="str" cm="1">
        <f t="array" ref="C1632">IFERROR(INDEX('03.Muestra'!$F$8:$F$42,SMALL(IF("Página Web"='03.Muestra'!$D$8:$D$42,ROW('03.Muestra'!$F$8:$F$42)-MIN(ROW('03.Muestra'!$D$8:$D$42))+1,""),ROW()-1614)),"")</f>
        <v/>
      </c>
      <c r="D1632" s="130" t="str">
        <f t="shared" si="85"/>
        <v/>
      </c>
      <c r="E1632" s="107" t="str">
        <f t="shared" si="84"/>
        <v/>
      </c>
      <c r="F1632" s="19"/>
      <c r="G1632" s="19"/>
      <c r="H1632" s="19"/>
      <c r="I1632" s="19"/>
      <c r="J1632" s="19"/>
      <c r="K1632" s="233"/>
    </row>
    <row r="1633" spans="1:11" ht="12" customHeight="1">
      <c r="A1633" s="219" t="str" cm="1">
        <f t="array" ref="A1633">IFERROR(INDEX('03.Muestra'!$B$8:$B$42,SMALL(IF("Página Web"='03.Muestra'!$D$8:$D$42,ROW('03.Muestra'!$B$8:$B$42)-MIN(ROW('03.Muestra'!$D$8:$D$42))+1,""),ROW()-1614)),"")</f>
        <v/>
      </c>
      <c r="B1633" s="114" t="str" cm="1">
        <f t="array" ref="B1633">IFERROR(INDEX('03.Muestra'!$C$8:$C$42,SMALL(IF("Página Web"='03.Muestra'!$D$8:$D$42,ROW('03.Muestra'!$C$8:$C$42)-MIN(ROW('03.Muestra'!$D$8:$D$42))+1,""),ROW()-1614)),"")</f>
        <v/>
      </c>
      <c r="C1633" s="114" t="str" cm="1">
        <f t="array" ref="C1633">IFERROR(INDEX('03.Muestra'!$F$8:$F$42,SMALL(IF("Página Web"='03.Muestra'!$D$8:$D$42,ROW('03.Muestra'!$F$8:$F$42)-MIN(ROW('03.Muestra'!$D$8:$D$42))+1,""),ROW()-1614)),"")</f>
        <v/>
      </c>
      <c r="D1633" s="130" t="str">
        <f t="shared" si="85"/>
        <v/>
      </c>
      <c r="E1633" s="107" t="str">
        <f t="shared" si="84"/>
        <v/>
      </c>
      <c r="F1633" s="19"/>
      <c r="G1633" s="19"/>
      <c r="H1633" s="19"/>
      <c r="I1633" s="19"/>
      <c r="J1633" s="19"/>
      <c r="K1633" s="233"/>
    </row>
    <row r="1634" spans="1:11" ht="12" customHeight="1">
      <c r="A1634" s="219" t="str" cm="1">
        <f t="array" ref="A1634">IFERROR(INDEX('03.Muestra'!$B$8:$B$42,SMALL(IF("Página Web"='03.Muestra'!$D$8:$D$42,ROW('03.Muestra'!$B$8:$B$42)-MIN(ROW('03.Muestra'!$D$8:$D$42))+1,""),ROW()-1614)),"")</f>
        <v/>
      </c>
      <c r="B1634" s="114" t="str" cm="1">
        <f t="array" ref="B1634">IFERROR(INDEX('03.Muestra'!$C$8:$C$42,SMALL(IF("Página Web"='03.Muestra'!$D$8:$D$42,ROW('03.Muestra'!$C$8:$C$42)-MIN(ROW('03.Muestra'!$D$8:$D$42))+1,""),ROW()-1614)),"")</f>
        <v/>
      </c>
      <c r="C1634" s="114" t="str" cm="1">
        <f t="array" ref="C1634">IFERROR(INDEX('03.Muestra'!$F$8:$F$42,SMALL(IF("Página Web"='03.Muestra'!$D$8:$D$42,ROW('03.Muestra'!$F$8:$F$42)-MIN(ROW('03.Muestra'!$D$8:$D$42))+1,""),ROW()-1614)),"")</f>
        <v/>
      </c>
      <c r="D1634" s="130" t="str">
        <f t="shared" si="85"/>
        <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si="85"/>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268</v>
      </c>
      <c r="B1652" s="24" t="s">
        <v>90</v>
      </c>
      <c r="C1652" s="25" t="s">
        <v>416</v>
      </c>
      <c r="D1652" s="26" t="s">
        <v>32</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https://www.comunidad.madrid/hospital/clinicosancarlos/</v>
      </c>
      <c r="D1653" s="130" t="s">
        <v>28</v>
      </c>
      <c r="E1653" s="107" t="str">
        <f t="shared" ref="E1653:E1687" si="86">IF(D1653&lt;&gt;"",IF(AND(B1653&lt;&gt;"",C1653&lt;&gt;""),"","ERR"),"")</f>
        <v/>
      </c>
      <c r="F1653" s="115" t="s">
        <v>33</v>
      </c>
      <c r="G1653" s="116" t="s">
        <v>37</v>
      </c>
      <c r="H1653" s="117" t="s">
        <v>35</v>
      </c>
      <c r="I1653" s="118" t="s">
        <v>28</v>
      </c>
      <c r="J1653" s="119" t="s">
        <v>26</v>
      </c>
      <c r="K1653" s="226" t="s">
        <v>474</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Ciudadanos</v>
      </c>
      <c r="C1654" s="114" t="str" cm="1">
        <f t="array" ref="C1654">IFERROR(INDEX('03.Muestra'!$F$8:$F$42,SMALL(IF("Página Web"='03.Muestra'!$D$8:$D$42,ROW('03.Muestra'!$F$8:$F$42)-MIN(ROW('03.Muestra'!$D$8:$D$42))+1,""),ROW()-1652)),"")</f>
        <v>https://www.comunidad.madrid/hospital/clinicosancarlos/ciudadanos</v>
      </c>
      <c r="D1654" s="130" t="s">
        <v>28</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16</v>
      </c>
      <c r="J1654" s="120">
        <f ca="1">COUNTIF($D1653:INDIRECT("$D" &amp;  SUM(ROW()-1,'03.Muestra'!$D$45)-1),J1653)</f>
        <v>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Consultas externas</v>
      </c>
      <c r="C1655" s="114" t="str" cm="1">
        <f t="array" ref="C1655">IFERROR(INDEX('03.Muestra'!$F$8:$F$42,SMALL(IF("Página Web"='03.Muestra'!$D$8:$D$42,ROW('03.Muestra'!$F$8:$F$42)-MIN(ROW('03.Muestra'!$D$8:$D$42))+1,""),ROW()-1652)),"")</f>
        <v>https://www.comunidad.madrid/hospital/clinicosancarlos/ciudadanos/consultas-externas</v>
      </c>
      <c r="D1655" s="130" t="s">
        <v>28</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Donación</v>
      </c>
      <c r="C1656" s="114" t="str" cm="1">
        <f t="array" ref="C1656">IFERROR(INDEX('03.Muestra'!$F$8:$F$42,SMALL(IF("Página Web"='03.Muestra'!$D$8:$D$42,ROW('03.Muestra'!$F$8:$F$42)-MIN(ROW('03.Muestra'!$D$8:$D$42))+1,""),ROW()-1652)),"")</f>
        <v>https://www.comunidad.madrid/hospital/clinicosancarlos/ciudadanos/donacion-0</v>
      </c>
      <c r="D1656" s="130" t="s">
        <v>28</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Profesionales</v>
      </c>
      <c r="C1657" s="114" t="str" cm="1">
        <f t="array" ref="C1657">IFERROR(INDEX('03.Muestra'!$F$8:$F$42,SMALL(IF("Página Web"='03.Muestra'!$D$8:$D$42,ROW('03.Muestra'!$F$8:$F$42)-MIN(ROW('03.Muestra'!$D$8:$D$42))+1,""),ROW()-1652)),"")</f>
        <v>https://www.comunidad.madrid/hospital/clinicosancarlos/profesionales</v>
      </c>
      <c r="D1657" s="130" t="s">
        <v>28</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Docencia</v>
      </c>
      <c r="C1658" s="114" t="str" cm="1">
        <f t="array" ref="C1658">IFERROR(INDEX('03.Muestra'!$F$8:$F$42,SMALL(IF("Página Web"='03.Muestra'!$D$8:$D$42,ROW('03.Muestra'!$F$8:$F$42)-MIN(ROW('03.Muestra'!$D$8:$D$42))+1,""),ROW()-1652)),"")</f>
        <v>https://www.comunidad.madrid/hospital/clinicosancarlos/profesionales/docencia</v>
      </c>
      <c r="D1658" s="130" t="s">
        <v>28</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Referencia</v>
      </c>
      <c r="C1659" s="114" t="str" cm="1">
        <f t="array" ref="C1659">IFERROR(INDEX('03.Muestra'!$F$8:$F$42,SMALL(IF("Página Web"='03.Muestra'!$D$8:$D$42,ROW('03.Muestra'!$F$8:$F$42)-MIN(ROW('03.Muestra'!$D$8:$D$42))+1,""),ROW()-1652)),"")</f>
        <v>https://www.comunidad.madrid/hospital/clinicosancarlos/profesionales/unidades-referencia-nacional-redes-europeas</v>
      </c>
      <c r="D1659" s="130" t="s">
        <v>28</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Comunicación</v>
      </c>
      <c r="C1660" s="114" t="str" cm="1">
        <f t="array" ref="C1660">IFERROR(INDEX('03.Muestra'!$F$8:$F$42,SMALL(IF("Página Web"='03.Muestra'!$D$8:$D$42,ROW('03.Muestra'!$F$8:$F$42)-MIN(ROW('03.Muestra'!$D$8:$D$42))+1,""),ROW()-1652)),"")</f>
        <v>https://www.comunidad.madrid/hospital/clinicosancarlos/comunicacion</v>
      </c>
      <c r="D1660" s="130" t="s">
        <v>28</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Videoteca</v>
      </c>
      <c r="C1661" s="114" t="str" cm="1">
        <f t="array" ref="C1661">IFERROR(INDEX('03.Muestra'!$F$8:$F$42,SMALL(IF("Página Web"='03.Muestra'!$D$8:$D$42,ROW('03.Muestra'!$F$8:$F$42)-MIN(ROW('03.Muestra'!$D$8:$D$42))+1,""),ROW()-1652)),"")</f>
        <v>https://www.comunidad.madrid/hospital/clinicosancarlos/comunicacion/videoteca</v>
      </c>
      <c r="D1661" s="130" t="s">
        <v>28</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Noticias</v>
      </c>
      <c r="C1662" s="114" t="str" cm="1">
        <f t="array" ref="C1662">IFERROR(INDEX('03.Muestra'!$F$8:$F$42,SMALL(IF("Página Web"='03.Muestra'!$D$8:$D$42,ROW('03.Muestra'!$F$8:$F$42)-MIN(ROW('03.Muestra'!$D$8:$D$42))+1,""),ROW()-1652)),"")</f>
        <v>https://www.comunidad.madrid/hospital/clinicosancarlos/comunicacion/noticias</v>
      </c>
      <c r="D1662" s="130" t="s">
        <v>28</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Nosotros</v>
      </c>
      <c r="C1663" s="114" t="str" cm="1">
        <f t="array" ref="C1663">IFERROR(INDEX('03.Muestra'!$F$8:$F$42,SMALL(IF("Página Web"='03.Muestra'!$D$8:$D$42,ROW('03.Muestra'!$F$8:$F$42)-MIN(ROW('03.Muestra'!$D$8:$D$42))+1,""),ROW()-1652)),"")</f>
        <v>https://www.comunidad.madrid/hospital/clinicosancarlos/nosotros</v>
      </c>
      <c r="D1663" s="130" t="s">
        <v>28</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Gestión Ambiental</v>
      </c>
      <c r="C1664" s="114" t="str" cm="1">
        <f t="array" ref="C1664">IFERROR(INDEX('03.Muestra'!$F$8:$F$42,SMALL(IF("Página Web"='03.Muestra'!$D$8:$D$42,ROW('03.Muestra'!$F$8:$F$42)-MIN(ROW('03.Muestra'!$D$8:$D$42))+1,""),ROW()-1652)),"")</f>
        <v>https://www.comunidad.madrid/hospital/clinicosancarlos/nosotros/gestion-ambiental</v>
      </c>
      <c r="D1664" s="130" t="s">
        <v>28</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Proveedores</v>
      </c>
      <c r="C1665" s="114" t="str" cm="1">
        <f t="array" ref="C1665">IFERROR(INDEX('03.Muestra'!$F$8:$F$42,SMALL(IF("Página Web"='03.Muestra'!$D$8:$D$42,ROW('03.Muestra'!$F$8:$F$42)-MIN(ROW('03.Muestra'!$D$8:$D$42))+1,""),ROW()-1652)),"")</f>
        <v>https://www.comunidad.madrid/hospital/clinicosancarlos/nosotros/proveedores-0</v>
      </c>
      <c r="D1665" s="130" t="s">
        <v>28</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Aviso legal</v>
      </c>
      <c r="C1666" s="114" t="str" cm="1">
        <f t="array" ref="C1666">IFERROR(INDEX('03.Muestra'!$F$8:$F$42,SMALL(IF("Página Web"='03.Muestra'!$D$8:$D$42,ROW('03.Muestra'!$F$8:$F$42)-MIN(ROW('03.Muestra'!$D$8:$D$42))+1,""),ROW()-1652)),"")</f>
        <v>https://www.comunidad.madrid/hospital/clinicosancarlos/aviso-legal-privacidad</v>
      </c>
      <c r="D1666" s="130" t="s">
        <v>28</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Mapa web</v>
      </c>
      <c r="C1667" s="114" t="str" cm="1">
        <f t="array" ref="C1667">IFERROR(INDEX('03.Muestra'!$F$8:$F$42,SMALL(IF("Página Web"='03.Muestra'!$D$8:$D$42,ROW('03.Muestra'!$F$8:$F$42)-MIN(ROW('03.Muestra'!$D$8:$D$42))+1,""),ROW()-1652)),"")</f>
        <v>https://www.comunidad.madrid/hospital/clinicosancarlos/sitemap</v>
      </c>
      <c r="D1667" s="130" t="s">
        <v>28</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Accesibilidad</v>
      </c>
      <c r="C1668" s="114" t="str" cm="1">
        <f t="array" ref="C1668">IFERROR(INDEX('03.Muestra'!$F$8:$F$42,SMALL(IF("Página Web"='03.Muestra'!$D$8:$D$42,ROW('03.Muestra'!$F$8:$F$42)-MIN(ROW('03.Muestra'!$D$8:$D$42))+1,""),ROW()-1652)),"")</f>
        <v>https://www.comunidad.madrid/hospital/clinicosancarlos/declaracion-accesibilidad</v>
      </c>
      <c r="D1668" s="130" t="s">
        <v>28</v>
      </c>
      <c r="E1668" s="107" t="str">
        <f t="shared" si="86"/>
        <v/>
      </c>
      <c r="F1668" s="19"/>
      <c r="G1668" s="19"/>
      <c r="H1668" s="19"/>
      <c r="I1668" s="19"/>
      <c r="J1668" s="19"/>
      <c r="K1668" s="233"/>
    </row>
    <row r="1669" spans="1:11" ht="12" customHeight="1">
      <c r="A1669" s="219" t="str" cm="1">
        <f t="array" ref="A1669">IFERROR(INDEX('03.Muestra'!$B$8:$B$42,SMALL(IF("Página Web"='03.Muestra'!$D$8:$D$42,ROW('03.Muestra'!$B$8:$B$42)-MIN(ROW('03.Muestra'!$D$8:$D$42))+1,""),ROW()-1652)),"")</f>
        <v/>
      </c>
      <c r="B1669" s="114" t="str" cm="1">
        <f t="array" ref="B1669">IFERROR(INDEX('03.Muestra'!$C$8:$C$42,SMALL(IF("Página Web"='03.Muestra'!$D$8:$D$42,ROW('03.Muestra'!$C$8:$C$42)-MIN(ROW('03.Muestra'!$D$8:$D$42))+1,""),ROW()-1652)),"")</f>
        <v/>
      </c>
      <c r="C1669" s="114" t="str" cm="1">
        <f t="array" ref="C1669">IFERROR(INDEX('03.Muestra'!$F$8:$F$42,SMALL(IF("Página Web"='03.Muestra'!$D$8:$D$42,ROW('03.Muestra'!$F$8:$F$42)-MIN(ROW('03.Muestra'!$D$8:$D$42))+1,""),ROW()-1652)),"")</f>
        <v/>
      </c>
      <c r="D1669" s="130" t="str">
        <f t="shared" ref="D1669:D1687" si="87">IF(AND(B1669&lt;&gt;"",C1669&lt;&gt;""),"N/T","")</f>
        <v/>
      </c>
      <c r="E1669" s="107" t="str">
        <f t="shared" si="86"/>
        <v/>
      </c>
      <c r="F1669" s="19"/>
      <c r="G1669" s="19"/>
      <c r="H1669" s="19"/>
      <c r="I1669" s="19"/>
      <c r="J1669" s="19"/>
      <c r="K1669" s="233"/>
    </row>
    <row r="1670" spans="1:11" ht="12" customHeight="1">
      <c r="A1670" s="219" t="str" cm="1">
        <f t="array" ref="A1670">IFERROR(INDEX('03.Muestra'!$B$8:$B$42,SMALL(IF("Página Web"='03.Muestra'!$D$8:$D$42,ROW('03.Muestra'!$B$8:$B$42)-MIN(ROW('03.Muestra'!$D$8:$D$42))+1,""),ROW()-1652)),"")</f>
        <v/>
      </c>
      <c r="B1670" s="114" t="str" cm="1">
        <f t="array" ref="B1670">IFERROR(INDEX('03.Muestra'!$C$8:$C$42,SMALL(IF("Página Web"='03.Muestra'!$D$8:$D$42,ROW('03.Muestra'!$C$8:$C$42)-MIN(ROW('03.Muestra'!$D$8:$D$42))+1,""),ROW()-1652)),"")</f>
        <v/>
      </c>
      <c r="C1670" s="114" t="str" cm="1">
        <f t="array" ref="C1670">IFERROR(INDEX('03.Muestra'!$F$8:$F$42,SMALL(IF("Página Web"='03.Muestra'!$D$8:$D$42,ROW('03.Muestra'!$F$8:$F$42)-MIN(ROW('03.Muestra'!$D$8:$D$42))+1,""),ROW()-1652)),"")</f>
        <v/>
      </c>
      <c r="D1670" s="130" t="str">
        <f t="shared" si="87"/>
        <v/>
      </c>
      <c r="E1670" s="107" t="str">
        <f t="shared" si="86"/>
        <v/>
      </c>
      <c r="F1670" s="19"/>
      <c r="G1670" s="19"/>
      <c r="H1670" s="19"/>
      <c r="I1670" s="19"/>
      <c r="J1670" s="19"/>
      <c r="K1670" s="233"/>
    </row>
    <row r="1671" spans="1:11" ht="12" customHeight="1">
      <c r="A1671" s="219" t="str" cm="1">
        <f t="array" ref="A1671">IFERROR(INDEX('03.Muestra'!$B$8:$B$42,SMALL(IF("Página Web"='03.Muestra'!$D$8:$D$42,ROW('03.Muestra'!$B$8:$B$42)-MIN(ROW('03.Muestra'!$D$8:$D$42))+1,""),ROW()-1652)),"")</f>
        <v/>
      </c>
      <c r="B1671" s="114" t="str" cm="1">
        <f t="array" ref="B1671">IFERROR(INDEX('03.Muestra'!$C$8:$C$42,SMALL(IF("Página Web"='03.Muestra'!$D$8:$D$42,ROW('03.Muestra'!$C$8:$C$42)-MIN(ROW('03.Muestra'!$D$8:$D$42))+1,""),ROW()-1652)),"")</f>
        <v/>
      </c>
      <c r="C1671" s="114" t="str" cm="1">
        <f t="array" ref="C1671">IFERROR(INDEX('03.Muestra'!$F$8:$F$42,SMALL(IF("Página Web"='03.Muestra'!$D$8:$D$42,ROW('03.Muestra'!$F$8:$F$42)-MIN(ROW('03.Muestra'!$D$8:$D$42))+1,""),ROW()-1652)),"")</f>
        <v/>
      </c>
      <c r="D1671" s="130" t="str">
        <f t="shared" si="87"/>
        <v/>
      </c>
      <c r="E1671" s="107" t="str">
        <f t="shared" si="86"/>
        <v/>
      </c>
      <c r="F1671" s="19"/>
      <c r="G1671" s="19"/>
      <c r="H1671" s="19"/>
      <c r="I1671" s="19"/>
      <c r="J1671" s="19"/>
      <c r="K1671" s="233"/>
    </row>
    <row r="1672" spans="1:11" ht="12" customHeight="1">
      <c r="A1672" s="219" t="str" cm="1">
        <f t="array" ref="A1672">IFERROR(INDEX('03.Muestra'!$B$8:$B$42,SMALL(IF("Página Web"='03.Muestra'!$D$8:$D$42,ROW('03.Muestra'!$B$8:$B$42)-MIN(ROW('03.Muestra'!$D$8:$D$42))+1,""),ROW()-1652)),"")</f>
        <v/>
      </c>
      <c r="B1672" s="114" t="str" cm="1">
        <f t="array" ref="B1672">IFERROR(INDEX('03.Muestra'!$C$8:$C$42,SMALL(IF("Página Web"='03.Muestra'!$D$8:$D$42,ROW('03.Muestra'!$C$8:$C$42)-MIN(ROW('03.Muestra'!$D$8:$D$42))+1,""),ROW()-1652)),"")</f>
        <v/>
      </c>
      <c r="C1672" s="114" t="str" cm="1">
        <f t="array" ref="C1672">IFERROR(INDEX('03.Muestra'!$F$8:$F$42,SMALL(IF("Página Web"='03.Muestra'!$D$8:$D$42,ROW('03.Muestra'!$F$8:$F$42)-MIN(ROW('03.Muestra'!$D$8:$D$42))+1,""),ROW()-1652)),"")</f>
        <v/>
      </c>
      <c r="D1672" s="130" t="str">
        <f t="shared" si="87"/>
        <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si="87"/>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268</v>
      </c>
      <c r="B1690" s="24" t="s">
        <v>90</v>
      </c>
      <c r="C1690" s="25" t="s">
        <v>417</v>
      </c>
      <c r="D1690" s="26" t="s">
        <v>32</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https://www.comunidad.madrid/hospital/clinicosancarlos/</v>
      </c>
      <c r="D1691" s="130" t="s">
        <v>35</v>
      </c>
      <c r="E1691" s="107" t="str">
        <f t="shared" ref="E1691:E1725" si="88">IF(D1691&lt;&gt;"",IF(AND(B1691&lt;&gt;"",C1691&lt;&gt;""),"","ERR"),"")</f>
        <v/>
      </c>
      <c r="F1691" s="115" t="s">
        <v>33</v>
      </c>
      <c r="G1691" s="116" t="s">
        <v>37</v>
      </c>
      <c r="H1691" s="117" t="s">
        <v>35</v>
      </c>
      <c r="I1691" s="118" t="s">
        <v>28</v>
      </c>
      <c r="J1691" s="119" t="s">
        <v>26</v>
      </c>
      <c r="K1691" s="226" t="s">
        <v>474</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Ciudadanos</v>
      </c>
      <c r="C1692" s="114" t="str" cm="1">
        <f t="array" ref="C1692">IFERROR(INDEX('03.Muestra'!$F$8:$F$42,SMALL(IF("Página Web"='03.Muestra'!$D$8:$D$42,ROW('03.Muestra'!$F$8:$F$42)-MIN(ROW('03.Muestra'!$D$8:$D$42))+1,""),ROW()-1690)),"")</f>
        <v>https://www.comunidad.madrid/hospital/clinicosancarlos/ciudadanos</v>
      </c>
      <c r="D1692" s="130" t="s">
        <v>35</v>
      </c>
      <c r="E1692" s="107" t="str">
        <f t="shared" si="88"/>
        <v/>
      </c>
      <c r="F1692" s="120">
        <f ca="1">COUNTIF($D1691:INDIRECT("$D" &amp;  SUM(ROW()-1,'03.Muestra'!$D$45)-1),F1691)</f>
        <v>0</v>
      </c>
      <c r="G1692" s="120">
        <f ca="1">COUNTIF($D1691:INDIRECT("$D" &amp;  SUM(ROW()-1,'03.Muestra'!$D$45)-1),G1691)</f>
        <v>0</v>
      </c>
      <c r="H1692" s="120">
        <f ca="1">COUNTIF($D1691:INDIRECT("$D" &amp;  SUM(ROW()-1,'03.Muestra'!$D$45)-1),H1691)</f>
        <v>16</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Consultas externas</v>
      </c>
      <c r="C1693" s="114" t="str" cm="1">
        <f t="array" ref="C1693">IFERROR(INDEX('03.Muestra'!$F$8:$F$42,SMALL(IF("Página Web"='03.Muestra'!$D$8:$D$42,ROW('03.Muestra'!$F$8:$F$42)-MIN(ROW('03.Muestra'!$D$8:$D$42))+1,""),ROW()-1690)),"")</f>
        <v>https://www.comunidad.madrid/hospital/clinicosancarlos/ciudadanos/consultas-externas</v>
      </c>
      <c r="D1693" s="130" t="s">
        <v>35</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Donación</v>
      </c>
      <c r="C1694" s="114" t="str" cm="1">
        <f t="array" ref="C1694">IFERROR(INDEX('03.Muestra'!$F$8:$F$42,SMALL(IF("Página Web"='03.Muestra'!$D$8:$D$42,ROW('03.Muestra'!$F$8:$F$42)-MIN(ROW('03.Muestra'!$D$8:$D$42))+1,""),ROW()-1690)),"")</f>
        <v>https://www.comunidad.madrid/hospital/clinicosancarlos/ciudadanos/donacion-0</v>
      </c>
      <c r="D1694" s="130" t="s">
        <v>35</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Profesionales</v>
      </c>
      <c r="C1695" s="114" t="str" cm="1">
        <f t="array" ref="C1695">IFERROR(INDEX('03.Muestra'!$F$8:$F$42,SMALL(IF("Página Web"='03.Muestra'!$D$8:$D$42,ROW('03.Muestra'!$F$8:$F$42)-MIN(ROW('03.Muestra'!$D$8:$D$42))+1,""),ROW()-1690)),"")</f>
        <v>https://www.comunidad.madrid/hospital/clinicosancarlos/profesionales</v>
      </c>
      <c r="D1695" s="130" t="s">
        <v>35</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Docencia</v>
      </c>
      <c r="C1696" s="114" t="str" cm="1">
        <f t="array" ref="C1696">IFERROR(INDEX('03.Muestra'!$F$8:$F$42,SMALL(IF("Página Web"='03.Muestra'!$D$8:$D$42,ROW('03.Muestra'!$F$8:$F$42)-MIN(ROW('03.Muestra'!$D$8:$D$42))+1,""),ROW()-1690)),"")</f>
        <v>https://www.comunidad.madrid/hospital/clinicosancarlos/profesionales/docencia</v>
      </c>
      <c r="D1696" s="130" t="s">
        <v>35</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Referencia</v>
      </c>
      <c r="C1697" s="114" t="str" cm="1">
        <f t="array" ref="C1697">IFERROR(INDEX('03.Muestra'!$F$8:$F$42,SMALL(IF("Página Web"='03.Muestra'!$D$8:$D$42,ROW('03.Muestra'!$F$8:$F$42)-MIN(ROW('03.Muestra'!$D$8:$D$42))+1,""),ROW()-1690)),"")</f>
        <v>https://www.comunidad.madrid/hospital/clinicosancarlos/profesionales/unidades-referencia-nacional-redes-europeas</v>
      </c>
      <c r="D1697" s="130" t="s">
        <v>35</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Comunicación</v>
      </c>
      <c r="C1698" s="114" t="str" cm="1">
        <f t="array" ref="C1698">IFERROR(INDEX('03.Muestra'!$F$8:$F$42,SMALL(IF("Página Web"='03.Muestra'!$D$8:$D$42,ROW('03.Muestra'!$F$8:$F$42)-MIN(ROW('03.Muestra'!$D$8:$D$42))+1,""),ROW()-1690)),"")</f>
        <v>https://www.comunidad.madrid/hospital/clinicosancarlos/comunicacion</v>
      </c>
      <c r="D1698" s="130" t="s">
        <v>35</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Videoteca</v>
      </c>
      <c r="C1699" s="114" t="str" cm="1">
        <f t="array" ref="C1699">IFERROR(INDEX('03.Muestra'!$F$8:$F$42,SMALL(IF("Página Web"='03.Muestra'!$D$8:$D$42,ROW('03.Muestra'!$F$8:$F$42)-MIN(ROW('03.Muestra'!$D$8:$D$42))+1,""),ROW()-1690)),"")</f>
        <v>https://www.comunidad.madrid/hospital/clinicosancarlos/comunicacion/videoteca</v>
      </c>
      <c r="D1699" s="130" t="s">
        <v>35</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Noticias</v>
      </c>
      <c r="C1700" s="114" t="str" cm="1">
        <f t="array" ref="C1700">IFERROR(INDEX('03.Muestra'!$F$8:$F$42,SMALL(IF("Página Web"='03.Muestra'!$D$8:$D$42,ROW('03.Muestra'!$F$8:$F$42)-MIN(ROW('03.Muestra'!$D$8:$D$42))+1,""),ROW()-1690)),"")</f>
        <v>https://www.comunidad.madrid/hospital/clinicosancarlos/comunicacion/noticias</v>
      </c>
      <c r="D1700" s="130" t="s">
        <v>35</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Nosotros</v>
      </c>
      <c r="C1701" s="114" t="str" cm="1">
        <f t="array" ref="C1701">IFERROR(INDEX('03.Muestra'!$F$8:$F$42,SMALL(IF("Página Web"='03.Muestra'!$D$8:$D$42,ROW('03.Muestra'!$F$8:$F$42)-MIN(ROW('03.Muestra'!$D$8:$D$42))+1,""),ROW()-1690)),"")</f>
        <v>https://www.comunidad.madrid/hospital/clinicosancarlos/nosotros</v>
      </c>
      <c r="D1701" s="130" t="s">
        <v>35</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Gestión Ambiental</v>
      </c>
      <c r="C1702" s="114" t="str" cm="1">
        <f t="array" ref="C1702">IFERROR(INDEX('03.Muestra'!$F$8:$F$42,SMALL(IF("Página Web"='03.Muestra'!$D$8:$D$42,ROW('03.Muestra'!$F$8:$F$42)-MIN(ROW('03.Muestra'!$D$8:$D$42))+1,""),ROW()-1690)),"")</f>
        <v>https://www.comunidad.madrid/hospital/clinicosancarlos/nosotros/gestion-ambiental</v>
      </c>
      <c r="D1702" s="130" t="s">
        <v>35</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Proveedores</v>
      </c>
      <c r="C1703" s="114" t="str" cm="1">
        <f t="array" ref="C1703">IFERROR(INDEX('03.Muestra'!$F$8:$F$42,SMALL(IF("Página Web"='03.Muestra'!$D$8:$D$42,ROW('03.Muestra'!$F$8:$F$42)-MIN(ROW('03.Muestra'!$D$8:$D$42))+1,""),ROW()-1690)),"")</f>
        <v>https://www.comunidad.madrid/hospital/clinicosancarlos/nosotros/proveedores-0</v>
      </c>
      <c r="D1703" s="130" t="s">
        <v>35</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Aviso legal</v>
      </c>
      <c r="C1704" s="114" t="str" cm="1">
        <f t="array" ref="C1704">IFERROR(INDEX('03.Muestra'!$F$8:$F$42,SMALL(IF("Página Web"='03.Muestra'!$D$8:$D$42,ROW('03.Muestra'!$F$8:$F$42)-MIN(ROW('03.Muestra'!$D$8:$D$42))+1,""),ROW()-1690)),"")</f>
        <v>https://www.comunidad.madrid/hospital/clinicosancarlos/aviso-legal-privacidad</v>
      </c>
      <c r="D1704" s="130" t="s">
        <v>35</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Mapa web</v>
      </c>
      <c r="C1705" s="114" t="str" cm="1">
        <f t="array" ref="C1705">IFERROR(INDEX('03.Muestra'!$F$8:$F$42,SMALL(IF("Página Web"='03.Muestra'!$D$8:$D$42,ROW('03.Muestra'!$F$8:$F$42)-MIN(ROW('03.Muestra'!$D$8:$D$42))+1,""),ROW()-1690)),"")</f>
        <v>https://www.comunidad.madrid/hospital/clinicosancarlos/sitemap</v>
      </c>
      <c r="D1705" s="130" t="s">
        <v>35</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Accesibilidad</v>
      </c>
      <c r="C1706" s="114" t="str" cm="1">
        <f t="array" ref="C1706">IFERROR(INDEX('03.Muestra'!$F$8:$F$42,SMALL(IF("Página Web"='03.Muestra'!$D$8:$D$42,ROW('03.Muestra'!$F$8:$F$42)-MIN(ROW('03.Muestra'!$D$8:$D$42))+1,""),ROW()-1690)),"")</f>
        <v>https://www.comunidad.madrid/hospital/clinicosancarlos/declaracion-accesibilidad</v>
      </c>
      <c r="D1706" s="130" t="s">
        <v>35</v>
      </c>
      <c r="E1706" s="107" t="str">
        <f t="shared" si="88"/>
        <v/>
      </c>
      <c r="F1706" s="19"/>
      <c r="G1706" s="19"/>
      <c r="H1706" s="19"/>
      <c r="I1706" s="19"/>
      <c r="J1706" s="19"/>
      <c r="K1706" s="233"/>
    </row>
    <row r="1707" spans="1:11" ht="12" customHeight="1">
      <c r="A1707" s="219" t="str" cm="1">
        <f t="array" ref="A1707">IFERROR(INDEX('03.Muestra'!$B$8:$B$42,SMALL(IF("Página Web"='03.Muestra'!$D$8:$D$42,ROW('03.Muestra'!$B$8:$B$42)-MIN(ROW('03.Muestra'!$D$8:$D$42))+1,""),ROW()-1690)),"")</f>
        <v/>
      </c>
      <c r="B1707" s="114" t="str" cm="1">
        <f t="array" ref="B1707">IFERROR(INDEX('03.Muestra'!$C$8:$C$42,SMALL(IF("Página Web"='03.Muestra'!$D$8:$D$42,ROW('03.Muestra'!$C$8:$C$42)-MIN(ROW('03.Muestra'!$D$8:$D$42))+1,""),ROW()-1690)),"")</f>
        <v/>
      </c>
      <c r="C1707" s="114" t="str" cm="1">
        <f t="array" ref="C1707">IFERROR(INDEX('03.Muestra'!$F$8:$F$42,SMALL(IF("Página Web"='03.Muestra'!$D$8:$D$42,ROW('03.Muestra'!$F$8:$F$42)-MIN(ROW('03.Muestra'!$D$8:$D$42))+1,""),ROW()-1690)),"")</f>
        <v/>
      </c>
      <c r="D1707" s="130" t="str">
        <f t="shared" ref="D1707:D1725" si="89">IF(AND(B1707&lt;&gt;"",C1707&lt;&gt;""),"N/T","")</f>
        <v/>
      </c>
      <c r="E1707" s="107" t="str">
        <f t="shared" si="88"/>
        <v/>
      </c>
      <c r="F1707" s="19"/>
      <c r="G1707" s="19"/>
      <c r="H1707" s="19"/>
      <c r="I1707" s="19"/>
      <c r="J1707" s="19"/>
      <c r="K1707" s="233"/>
    </row>
    <row r="1708" spans="1:11" ht="12" customHeight="1">
      <c r="A1708" s="219" t="str" cm="1">
        <f t="array" ref="A1708">IFERROR(INDEX('03.Muestra'!$B$8:$B$42,SMALL(IF("Página Web"='03.Muestra'!$D$8:$D$42,ROW('03.Muestra'!$B$8:$B$42)-MIN(ROW('03.Muestra'!$D$8:$D$42))+1,""),ROW()-1690)),"")</f>
        <v/>
      </c>
      <c r="B1708" s="114" t="str" cm="1">
        <f t="array" ref="B1708">IFERROR(INDEX('03.Muestra'!$C$8:$C$42,SMALL(IF("Página Web"='03.Muestra'!$D$8:$D$42,ROW('03.Muestra'!$C$8:$C$42)-MIN(ROW('03.Muestra'!$D$8:$D$42))+1,""),ROW()-1690)),"")</f>
        <v/>
      </c>
      <c r="C1708" s="114" t="str" cm="1">
        <f t="array" ref="C1708">IFERROR(INDEX('03.Muestra'!$F$8:$F$42,SMALL(IF("Página Web"='03.Muestra'!$D$8:$D$42,ROW('03.Muestra'!$F$8:$F$42)-MIN(ROW('03.Muestra'!$D$8:$D$42))+1,""),ROW()-1690)),"")</f>
        <v/>
      </c>
      <c r="D1708" s="130" t="str">
        <f t="shared" si="89"/>
        <v/>
      </c>
      <c r="E1708" s="107" t="str">
        <f t="shared" si="88"/>
        <v/>
      </c>
      <c r="F1708" s="19"/>
      <c r="G1708" s="19"/>
      <c r="H1708" s="19"/>
      <c r="I1708" s="19"/>
      <c r="J1708" s="19"/>
      <c r="K1708" s="233"/>
    </row>
    <row r="1709" spans="1:11" ht="12" customHeight="1">
      <c r="A1709" s="219" t="str" cm="1">
        <f t="array" ref="A1709">IFERROR(INDEX('03.Muestra'!$B$8:$B$42,SMALL(IF("Página Web"='03.Muestra'!$D$8:$D$42,ROW('03.Muestra'!$B$8:$B$42)-MIN(ROW('03.Muestra'!$D$8:$D$42))+1,""),ROW()-1690)),"")</f>
        <v/>
      </c>
      <c r="B1709" s="114" t="str" cm="1">
        <f t="array" ref="B1709">IFERROR(INDEX('03.Muestra'!$C$8:$C$42,SMALL(IF("Página Web"='03.Muestra'!$D$8:$D$42,ROW('03.Muestra'!$C$8:$C$42)-MIN(ROW('03.Muestra'!$D$8:$D$42))+1,""),ROW()-1690)),"")</f>
        <v/>
      </c>
      <c r="C1709" s="114" t="str" cm="1">
        <f t="array" ref="C1709">IFERROR(INDEX('03.Muestra'!$F$8:$F$42,SMALL(IF("Página Web"='03.Muestra'!$D$8:$D$42,ROW('03.Muestra'!$F$8:$F$42)-MIN(ROW('03.Muestra'!$D$8:$D$42))+1,""),ROW()-1690)),"")</f>
        <v/>
      </c>
      <c r="D1709" s="130" t="str">
        <f t="shared" si="89"/>
        <v/>
      </c>
      <c r="E1709" s="107" t="str">
        <f t="shared" si="88"/>
        <v/>
      </c>
      <c r="F1709" s="19"/>
      <c r="G1709" s="19"/>
      <c r="H1709" s="19"/>
      <c r="I1709" s="19"/>
      <c r="J1709" s="19"/>
      <c r="K1709" s="233"/>
    </row>
    <row r="1710" spans="1:11" ht="12" customHeight="1">
      <c r="A1710" s="219" t="str" cm="1">
        <f t="array" ref="A1710">IFERROR(INDEX('03.Muestra'!$B$8:$B$42,SMALL(IF("Página Web"='03.Muestra'!$D$8:$D$42,ROW('03.Muestra'!$B$8:$B$42)-MIN(ROW('03.Muestra'!$D$8:$D$42))+1,""),ROW()-1690)),"")</f>
        <v/>
      </c>
      <c r="B1710" s="114" t="str" cm="1">
        <f t="array" ref="B1710">IFERROR(INDEX('03.Muestra'!$C$8:$C$42,SMALL(IF("Página Web"='03.Muestra'!$D$8:$D$42,ROW('03.Muestra'!$C$8:$C$42)-MIN(ROW('03.Muestra'!$D$8:$D$42))+1,""),ROW()-1690)),"")</f>
        <v/>
      </c>
      <c r="C1710" s="114" t="str" cm="1">
        <f t="array" ref="C1710">IFERROR(INDEX('03.Muestra'!$F$8:$F$42,SMALL(IF("Página Web"='03.Muestra'!$D$8:$D$42,ROW('03.Muestra'!$F$8:$F$42)-MIN(ROW('03.Muestra'!$D$8:$D$42))+1,""),ROW()-1690)),"")</f>
        <v/>
      </c>
      <c r="D1710" s="130" t="str">
        <f t="shared" si="89"/>
        <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si="89"/>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268</v>
      </c>
      <c r="B1728" s="24" t="s">
        <v>90</v>
      </c>
      <c r="C1728" s="25" t="s">
        <v>418</v>
      </c>
      <c r="D1728" s="26" t="s">
        <v>32</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https://www.comunidad.madrid/hospital/clinicosancarlos/</v>
      </c>
      <c r="D1729" s="130" t="s">
        <v>35</v>
      </c>
      <c r="E1729" s="107" t="str">
        <f t="shared" ref="E1729:E1763" si="90">IF(D1729&lt;&gt;"",IF(AND(B1729&lt;&gt;"",C1729&lt;&gt;""),"","ERR"),"")</f>
        <v/>
      </c>
      <c r="F1729" s="115" t="s">
        <v>33</v>
      </c>
      <c r="G1729" s="116" t="s">
        <v>37</v>
      </c>
      <c r="H1729" s="117" t="s">
        <v>35</v>
      </c>
      <c r="I1729" s="118" t="s">
        <v>28</v>
      </c>
      <c r="J1729" s="119" t="s">
        <v>26</v>
      </c>
      <c r="K1729" s="226" t="s">
        <v>474</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Ciudadanos</v>
      </c>
      <c r="C1730" s="114" t="str" cm="1">
        <f t="array" ref="C1730">IFERROR(INDEX('03.Muestra'!$F$8:$F$42,SMALL(IF("Página Web"='03.Muestra'!$D$8:$D$42,ROW('03.Muestra'!$F$8:$F$42)-MIN(ROW('03.Muestra'!$D$8:$D$42))+1,""),ROW()-1728)),"")</f>
        <v>https://www.comunidad.madrid/hospital/clinicosancarlos/ciudadanos</v>
      </c>
      <c r="D1730" s="130" t="s">
        <v>35</v>
      </c>
      <c r="E1730" s="107" t="str">
        <f t="shared" si="90"/>
        <v/>
      </c>
      <c r="F1730" s="120">
        <f ca="1">COUNTIF($D1729:INDIRECT("$D" &amp;  SUM(ROW()-1,'03.Muestra'!$D$45)-1),F1729)</f>
        <v>0</v>
      </c>
      <c r="G1730" s="120">
        <f ca="1">COUNTIF($D1729:INDIRECT("$D" &amp;  SUM(ROW()-1,'03.Muestra'!$D$45)-1),G1729)</f>
        <v>0</v>
      </c>
      <c r="H1730" s="120">
        <f ca="1">COUNTIF($D1729:INDIRECT("$D" &amp;  SUM(ROW()-1,'03.Muestra'!$D$45)-1),H1729)</f>
        <v>16</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Consultas externas</v>
      </c>
      <c r="C1731" s="114" t="str" cm="1">
        <f t="array" ref="C1731">IFERROR(INDEX('03.Muestra'!$F$8:$F$42,SMALL(IF("Página Web"='03.Muestra'!$D$8:$D$42,ROW('03.Muestra'!$F$8:$F$42)-MIN(ROW('03.Muestra'!$D$8:$D$42))+1,""),ROW()-1728)),"")</f>
        <v>https://www.comunidad.madrid/hospital/clinicosancarlos/ciudadanos/consultas-externas</v>
      </c>
      <c r="D1731" s="130" t="s">
        <v>35</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Donación</v>
      </c>
      <c r="C1732" s="114" t="str" cm="1">
        <f t="array" ref="C1732">IFERROR(INDEX('03.Muestra'!$F$8:$F$42,SMALL(IF("Página Web"='03.Muestra'!$D$8:$D$42,ROW('03.Muestra'!$F$8:$F$42)-MIN(ROW('03.Muestra'!$D$8:$D$42))+1,""),ROW()-1728)),"")</f>
        <v>https://www.comunidad.madrid/hospital/clinicosancarlos/ciudadanos/donacion-0</v>
      </c>
      <c r="D1732" s="130" t="s">
        <v>35</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Profesionales</v>
      </c>
      <c r="C1733" s="114" t="str" cm="1">
        <f t="array" ref="C1733">IFERROR(INDEX('03.Muestra'!$F$8:$F$42,SMALL(IF("Página Web"='03.Muestra'!$D$8:$D$42,ROW('03.Muestra'!$F$8:$F$42)-MIN(ROW('03.Muestra'!$D$8:$D$42))+1,""),ROW()-1728)),"")</f>
        <v>https://www.comunidad.madrid/hospital/clinicosancarlos/profesionales</v>
      </c>
      <c r="D1733" s="130" t="s">
        <v>35</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Docencia</v>
      </c>
      <c r="C1734" s="114" t="str" cm="1">
        <f t="array" ref="C1734">IFERROR(INDEX('03.Muestra'!$F$8:$F$42,SMALL(IF("Página Web"='03.Muestra'!$D$8:$D$42,ROW('03.Muestra'!$F$8:$F$42)-MIN(ROW('03.Muestra'!$D$8:$D$42))+1,""),ROW()-1728)),"")</f>
        <v>https://www.comunidad.madrid/hospital/clinicosancarlos/profesionales/docencia</v>
      </c>
      <c r="D1734" s="130" t="s">
        <v>35</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Referencia</v>
      </c>
      <c r="C1735" s="114" t="str" cm="1">
        <f t="array" ref="C1735">IFERROR(INDEX('03.Muestra'!$F$8:$F$42,SMALL(IF("Página Web"='03.Muestra'!$D$8:$D$42,ROW('03.Muestra'!$F$8:$F$42)-MIN(ROW('03.Muestra'!$D$8:$D$42))+1,""),ROW()-1728)),"")</f>
        <v>https://www.comunidad.madrid/hospital/clinicosancarlos/profesionales/unidades-referencia-nacional-redes-europeas</v>
      </c>
      <c r="D1735" s="130" t="s">
        <v>35</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Comunicación</v>
      </c>
      <c r="C1736" s="114" t="str" cm="1">
        <f t="array" ref="C1736">IFERROR(INDEX('03.Muestra'!$F$8:$F$42,SMALL(IF("Página Web"='03.Muestra'!$D$8:$D$42,ROW('03.Muestra'!$F$8:$F$42)-MIN(ROW('03.Muestra'!$D$8:$D$42))+1,""),ROW()-1728)),"")</f>
        <v>https://www.comunidad.madrid/hospital/clinicosancarlos/comunicacion</v>
      </c>
      <c r="D1736" s="130" t="s">
        <v>35</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Videoteca</v>
      </c>
      <c r="C1737" s="114" t="str" cm="1">
        <f t="array" ref="C1737">IFERROR(INDEX('03.Muestra'!$F$8:$F$42,SMALL(IF("Página Web"='03.Muestra'!$D$8:$D$42,ROW('03.Muestra'!$F$8:$F$42)-MIN(ROW('03.Muestra'!$D$8:$D$42))+1,""),ROW()-1728)),"")</f>
        <v>https://www.comunidad.madrid/hospital/clinicosancarlos/comunicacion/videoteca</v>
      </c>
      <c r="D1737" s="130" t="s">
        <v>35</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Noticias</v>
      </c>
      <c r="C1738" s="114" t="str" cm="1">
        <f t="array" ref="C1738">IFERROR(INDEX('03.Muestra'!$F$8:$F$42,SMALL(IF("Página Web"='03.Muestra'!$D$8:$D$42,ROW('03.Muestra'!$F$8:$F$42)-MIN(ROW('03.Muestra'!$D$8:$D$42))+1,""),ROW()-1728)),"")</f>
        <v>https://www.comunidad.madrid/hospital/clinicosancarlos/comunicacion/noticias</v>
      </c>
      <c r="D1738" s="130" t="s">
        <v>35</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Nosotros</v>
      </c>
      <c r="C1739" s="114" t="str" cm="1">
        <f t="array" ref="C1739">IFERROR(INDEX('03.Muestra'!$F$8:$F$42,SMALL(IF("Página Web"='03.Muestra'!$D$8:$D$42,ROW('03.Muestra'!$F$8:$F$42)-MIN(ROW('03.Muestra'!$D$8:$D$42))+1,""),ROW()-1728)),"")</f>
        <v>https://www.comunidad.madrid/hospital/clinicosancarlos/nosotros</v>
      </c>
      <c r="D1739" s="130" t="s">
        <v>35</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Gestión Ambiental</v>
      </c>
      <c r="C1740" s="114" t="str" cm="1">
        <f t="array" ref="C1740">IFERROR(INDEX('03.Muestra'!$F$8:$F$42,SMALL(IF("Página Web"='03.Muestra'!$D$8:$D$42,ROW('03.Muestra'!$F$8:$F$42)-MIN(ROW('03.Muestra'!$D$8:$D$42))+1,""),ROW()-1728)),"")</f>
        <v>https://www.comunidad.madrid/hospital/clinicosancarlos/nosotros/gestion-ambiental</v>
      </c>
      <c r="D1740" s="130" t="s">
        <v>35</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Proveedores</v>
      </c>
      <c r="C1741" s="114" t="str" cm="1">
        <f t="array" ref="C1741">IFERROR(INDEX('03.Muestra'!$F$8:$F$42,SMALL(IF("Página Web"='03.Muestra'!$D$8:$D$42,ROW('03.Muestra'!$F$8:$F$42)-MIN(ROW('03.Muestra'!$D$8:$D$42))+1,""),ROW()-1728)),"")</f>
        <v>https://www.comunidad.madrid/hospital/clinicosancarlos/nosotros/proveedores-0</v>
      </c>
      <c r="D1741" s="130" t="s">
        <v>35</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Aviso legal</v>
      </c>
      <c r="C1742" s="114" t="str" cm="1">
        <f t="array" ref="C1742">IFERROR(INDEX('03.Muestra'!$F$8:$F$42,SMALL(IF("Página Web"='03.Muestra'!$D$8:$D$42,ROW('03.Muestra'!$F$8:$F$42)-MIN(ROW('03.Muestra'!$D$8:$D$42))+1,""),ROW()-1728)),"")</f>
        <v>https://www.comunidad.madrid/hospital/clinicosancarlos/aviso-legal-privacidad</v>
      </c>
      <c r="D1742" s="130" t="s">
        <v>35</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Mapa web</v>
      </c>
      <c r="C1743" s="114" t="str" cm="1">
        <f t="array" ref="C1743">IFERROR(INDEX('03.Muestra'!$F$8:$F$42,SMALL(IF("Página Web"='03.Muestra'!$D$8:$D$42,ROW('03.Muestra'!$F$8:$F$42)-MIN(ROW('03.Muestra'!$D$8:$D$42))+1,""),ROW()-1728)),"")</f>
        <v>https://www.comunidad.madrid/hospital/clinicosancarlos/sitemap</v>
      </c>
      <c r="D1743" s="130" t="s">
        <v>35</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Accesibilidad</v>
      </c>
      <c r="C1744" s="114" t="str" cm="1">
        <f t="array" ref="C1744">IFERROR(INDEX('03.Muestra'!$F$8:$F$42,SMALL(IF("Página Web"='03.Muestra'!$D$8:$D$42,ROW('03.Muestra'!$F$8:$F$42)-MIN(ROW('03.Muestra'!$D$8:$D$42))+1,""),ROW()-1728)),"")</f>
        <v>https://www.comunidad.madrid/hospital/clinicosancarlos/declaracion-accesibilidad</v>
      </c>
      <c r="D1744" s="130" t="s">
        <v>35</v>
      </c>
      <c r="E1744" s="107" t="str">
        <f t="shared" si="90"/>
        <v/>
      </c>
      <c r="F1744" s="19"/>
      <c r="G1744" s="19"/>
      <c r="H1744" s="19"/>
      <c r="I1744" s="19"/>
      <c r="J1744" s="19"/>
      <c r="K1744" s="233"/>
    </row>
    <row r="1745" spans="1:11" ht="12" customHeight="1">
      <c r="A1745" s="219" t="str" cm="1">
        <f t="array" ref="A1745">IFERROR(INDEX('03.Muestra'!$B$8:$B$42,SMALL(IF("Página Web"='03.Muestra'!$D$8:$D$42,ROW('03.Muestra'!$B$8:$B$42)-MIN(ROW('03.Muestra'!$D$8:$D$42))+1,""),ROW()-1728)),"")</f>
        <v/>
      </c>
      <c r="B1745" s="114" t="str" cm="1">
        <f t="array" ref="B1745">IFERROR(INDEX('03.Muestra'!$C$8:$C$42,SMALL(IF("Página Web"='03.Muestra'!$D$8:$D$42,ROW('03.Muestra'!$C$8:$C$42)-MIN(ROW('03.Muestra'!$D$8:$D$42))+1,""),ROW()-1728)),"")</f>
        <v/>
      </c>
      <c r="C1745" s="114" t="str" cm="1">
        <f t="array" ref="C1745">IFERROR(INDEX('03.Muestra'!$F$8:$F$42,SMALL(IF("Página Web"='03.Muestra'!$D$8:$D$42,ROW('03.Muestra'!$F$8:$F$42)-MIN(ROW('03.Muestra'!$D$8:$D$42))+1,""),ROW()-1728)),"")</f>
        <v/>
      </c>
      <c r="D1745" s="130" t="str">
        <f t="shared" ref="D1745:D1763" si="91">IF(AND(B1745&lt;&gt;"",C1745&lt;&gt;""),"N/T","")</f>
        <v/>
      </c>
      <c r="E1745" s="107" t="str">
        <f t="shared" si="90"/>
        <v/>
      </c>
      <c r="F1745" s="19"/>
      <c r="G1745" s="19"/>
      <c r="H1745" s="19"/>
      <c r="I1745" s="19"/>
      <c r="J1745" s="19"/>
      <c r="K1745" s="233"/>
    </row>
    <row r="1746" spans="1:11" ht="12" customHeight="1">
      <c r="A1746" s="219" t="str" cm="1">
        <f t="array" ref="A1746">IFERROR(INDEX('03.Muestra'!$B$8:$B$42,SMALL(IF("Página Web"='03.Muestra'!$D$8:$D$42,ROW('03.Muestra'!$B$8:$B$42)-MIN(ROW('03.Muestra'!$D$8:$D$42))+1,""),ROW()-1728)),"")</f>
        <v/>
      </c>
      <c r="B1746" s="114" t="str" cm="1">
        <f t="array" ref="B1746">IFERROR(INDEX('03.Muestra'!$C$8:$C$42,SMALL(IF("Página Web"='03.Muestra'!$D$8:$D$42,ROW('03.Muestra'!$C$8:$C$42)-MIN(ROW('03.Muestra'!$D$8:$D$42))+1,""),ROW()-1728)),"")</f>
        <v/>
      </c>
      <c r="C1746" s="114" t="str" cm="1">
        <f t="array" ref="C1746">IFERROR(INDEX('03.Muestra'!$F$8:$F$42,SMALL(IF("Página Web"='03.Muestra'!$D$8:$D$42,ROW('03.Muestra'!$F$8:$F$42)-MIN(ROW('03.Muestra'!$D$8:$D$42))+1,""),ROW()-1728)),"")</f>
        <v/>
      </c>
      <c r="D1746" s="130" t="str">
        <f t="shared" si="91"/>
        <v/>
      </c>
      <c r="E1746" s="107" t="str">
        <f t="shared" si="90"/>
        <v/>
      </c>
      <c r="F1746" s="19"/>
      <c r="G1746" s="19"/>
      <c r="H1746" s="19"/>
      <c r="I1746" s="19"/>
      <c r="J1746" s="19"/>
      <c r="K1746" s="233"/>
    </row>
    <row r="1747" spans="1:11" ht="12" customHeight="1">
      <c r="A1747" s="219" t="str" cm="1">
        <f t="array" ref="A1747">IFERROR(INDEX('03.Muestra'!$B$8:$B$42,SMALL(IF("Página Web"='03.Muestra'!$D$8:$D$42,ROW('03.Muestra'!$B$8:$B$42)-MIN(ROW('03.Muestra'!$D$8:$D$42))+1,""),ROW()-1728)),"")</f>
        <v/>
      </c>
      <c r="B1747" s="114" t="str" cm="1">
        <f t="array" ref="B1747">IFERROR(INDEX('03.Muestra'!$C$8:$C$42,SMALL(IF("Página Web"='03.Muestra'!$D$8:$D$42,ROW('03.Muestra'!$C$8:$C$42)-MIN(ROW('03.Muestra'!$D$8:$D$42))+1,""),ROW()-1728)),"")</f>
        <v/>
      </c>
      <c r="C1747" s="114" t="str" cm="1">
        <f t="array" ref="C1747">IFERROR(INDEX('03.Muestra'!$F$8:$F$42,SMALL(IF("Página Web"='03.Muestra'!$D$8:$D$42,ROW('03.Muestra'!$F$8:$F$42)-MIN(ROW('03.Muestra'!$D$8:$D$42))+1,""),ROW()-1728)),"")</f>
        <v/>
      </c>
      <c r="D1747" s="130" t="str">
        <f t="shared" si="91"/>
        <v/>
      </c>
      <c r="E1747" s="107" t="str">
        <f t="shared" si="90"/>
        <v/>
      </c>
      <c r="F1747" s="19"/>
      <c r="G1747" s="19"/>
      <c r="H1747" s="19"/>
      <c r="I1747" s="19"/>
      <c r="J1747" s="19"/>
      <c r="K1747" s="233"/>
    </row>
    <row r="1748" spans="1:11" ht="12" customHeight="1">
      <c r="A1748" s="219" t="str" cm="1">
        <f t="array" ref="A1748">IFERROR(INDEX('03.Muestra'!$B$8:$B$42,SMALL(IF("Página Web"='03.Muestra'!$D$8:$D$42,ROW('03.Muestra'!$B$8:$B$42)-MIN(ROW('03.Muestra'!$D$8:$D$42))+1,""),ROW()-1728)),"")</f>
        <v/>
      </c>
      <c r="B1748" s="114" t="str" cm="1">
        <f t="array" ref="B1748">IFERROR(INDEX('03.Muestra'!$C$8:$C$42,SMALL(IF("Página Web"='03.Muestra'!$D$8:$D$42,ROW('03.Muestra'!$C$8:$C$42)-MIN(ROW('03.Muestra'!$D$8:$D$42))+1,""),ROW()-1728)),"")</f>
        <v/>
      </c>
      <c r="C1748" s="114" t="str" cm="1">
        <f t="array" ref="C1748">IFERROR(INDEX('03.Muestra'!$F$8:$F$42,SMALL(IF("Página Web"='03.Muestra'!$D$8:$D$42,ROW('03.Muestra'!$F$8:$F$42)-MIN(ROW('03.Muestra'!$D$8:$D$42))+1,""),ROW()-1728)),"")</f>
        <v/>
      </c>
      <c r="D1748" s="130" t="str">
        <f t="shared" si="91"/>
        <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si="91"/>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268</v>
      </c>
      <c r="B1766" s="24" t="s">
        <v>90</v>
      </c>
      <c r="C1766" s="25" t="s">
        <v>419</v>
      </c>
      <c r="D1766" s="26" t="s">
        <v>32</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https://www.comunidad.madrid/hospital/clinicosancarlos/</v>
      </c>
      <c r="D1767" s="130" t="s">
        <v>26</v>
      </c>
      <c r="E1767" s="107" t="str">
        <f t="shared" ref="E1767:E1801" si="92">IF(D1767&lt;&gt;"",IF(AND(B1767&lt;&gt;"",C1767&lt;&gt;""),"","ERR"),"")</f>
        <v/>
      </c>
      <c r="F1767" s="115" t="s">
        <v>33</v>
      </c>
      <c r="G1767" s="116" t="s">
        <v>37</v>
      </c>
      <c r="H1767" s="117" t="s">
        <v>35</v>
      </c>
      <c r="I1767" s="118" t="s">
        <v>28</v>
      </c>
      <c r="J1767" s="119" t="s">
        <v>26</v>
      </c>
      <c r="K1767" s="226" t="s">
        <v>474</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Ciudadanos</v>
      </c>
      <c r="C1768" s="114" t="str" cm="1">
        <f t="array" ref="C1768">IFERROR(INDEX('03.Muestra'!$F$8:$F$42,SMALL(IF("Página Web"='03.Muestra'!$D$8:$D$42,ROW('03.Muestra'!$F$8:$F$42)-MIN(ROW('03.Muestra'!$D$8:$D$42))+1,""),ROW()-1766)),"")</f>
        <v>https://www.comunidad.madrid/hospital/clinicosancarlos/ciudadanos</v>
      </c>
      <c r="D1768" s="130" t="s">
        <v>26</v>
      </c>
      <c r="E1768" s="107" t="str">
        <f t="shared" si="92"/>
        <v/>
      </c>
      <c r="F1768" s="120">
        <f ca="1">COUNTIF($D1767:INDIRECT("$D" &amp;  SUM(ROW()-1,'03.Muestra'!$D$45)-1),F1767)</f>
        <v>0</v>
      </c>
      <c r="G1768" s="120">
        <f ca="1">COUNTIF($D1767:INDIRECT("$D" &amp;  SUM(ROW()-1,'03.Muestra'!$D$45)-1),G1767)</f>
        <v>0</v>
      </c>
      <c r="H1768" s="120">
        <f ca="1">COUNTIF($D1767:INDIRECT("$D" &amp;  SUM(ROW()-1,'03.Muestra'!$D$45)-1),H1767)</f>
        <v>0</v>
      </c>
      <c r="I1768" s="120">
        <f ca="1">COUNTIF($D1767:INDIRECT("$D" &amp;  SUM(ROW()-1,'03.Muestra'!$D$45)-1),I1767)</f>
        <v>0</v>
      </c>
      <c r="J1768" s="120">
        <f ca="1">COUNTIF($D1767:INDIRECT("$D" &amp;  SUM(ROW()-1,'03.Muestra'!$D$45)-1),J1767)</f>
        <v>16</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Consultas externas</v>
      </c>
      <c r="C1769" s="114" t="str" cm="1">
        <f t="array" ref="C1769">IFERROR(INDEX('03.Muestra'!$F$8:$F$42,SMALL(IF("Página Web"='03.Muestra'!$D$8:$D$42,ROW('03.Muestra'!$F$8:$F$42)-MIN(ROW('03.Muestra'!$D$8:$D$42))+1,""),ROW()-1766)),"")</f>
        <v>https://www.comunidad.madrid/hospital/clinicosancarlos/ciudadanos/consultas-externas</v>
      </c>
      <c r="D1769" s="130" t="s">
        <v>26</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Donación</v>
      </c>
      <c r="C1770" s="114" t="str" cm="1">
        <f t="array" ref="C1770">IFERROR(INDEX('03.Muestra'!$F$8:$F$42,SMALL(IF("Página Web"='03.Muestra'!$D$8:$D$42,ROW('03.Muestra'!$F$8:$F$42)-MIN(ROW('03.Muestra'!$D$8:$D$42))+1,""),ROW()-1766)),"")</f>
        <v>https://www.comunidad.madrid/hospital/clinicosancarlos/ciudadanos/donacion-0</v>
      </c>
      <c r="D1770" s="130" t="s">
        <v>26</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Profesionales</v>
      </c>
      <c r="C1771" s="114" t="str" cm="1">
        <f t="array" ref="C1771">IFERROR(INDEX('03.Muestra'!$F$8:$F$42,SMALL(IF("Página Web"='03.Muestra'!$D$8:$D$42,ROW('03.Muestra'!$F$8:$F$42)-MIN(ROW('03.Muestra'!$D$8:$D$42))+1,""),ROW()-1766)),"")</f>
        <v>https://www.comunidad.madrid/hospital/clinicosancarlos/profesionales</v>
      </c>
      <c r="D1771" s="130" t="s">
        <v>26</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Docencia</v>
      </c>
      <c r="C1772" s="114" t="str" cm="1">
        <f t="array" ref="C1772">IFERROR(INDEX('03.Muestra'!$F$8:$F$42,SMALL(IF("Página Web"='03.Muestra'!$D$8:$D$42,ROW('03.Muestra'!$F$8:$F$42)-MIN(ROW('03.Muestra'!$D$8:$D$42))+1,""),ROW()-1766)),"")</f>
        <v>https://www.comunidad.madrid/hospital/clinicosancarlos/profesionales/docencia</v>
      </c>
      <c r="D1772" s="130" t="s">
        <v>26</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Referencia</v>
      </c>
      <c r="C1773" s="114" t="str" cm="1">
        <f t="array" ref="C1773">IFERROR(INDEX('03.Muestra'!$F$8:$F$42,SMALL(IF("Página Web"='03.Muestra'!$D$8:$D$42,ROW('03.Muestra'!$F$8:$F$42)-MIN(ROW('03.Muestra'!$D$8:$D$42))+1,""),ROW()-1766)),"")</f>
        <v>https://www.comunidad.madrid/hospital/clinicosancarlos/profesionales/unidades-referencia-nacional-redes-europeas</v>
      </c>
      <c r="D1773" s="130" t="s">
        <v>26</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Comunicación</v>
      </c>
      <c r="C1774" s="114" t="str" cm="1">
        <f t="array" ref="C1774">IFERROR(INDEX('03.Muestra'!$F$8:$F$42,SMALL(IF("Página Web"='03.Muestra'!$D$8:$D$42,ROW('03.Muestra'!$F$8:$F$42)-MIN(ROW('03.Muestra'!$D$8:$D$42))+1,""),ROW()-1766)),"")</f>
        <v>https://www.comunidad.madrid/hospital/clinicosancarlos/comunicacion</v>
      </c>
      <c r="D1774" s="130" t="s">
        <v>26</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Videoteca</v>
      </c>
      <c r="C1775" s="114" t="str" cm="1">
        <f t="array" ref="C1775">IFERROR(INDEX('03.Muestra'!$F$8:$F$42,SMALL(IF("Página Web"='03.Muestra'!$D$8:$D$42,ROW('03.Muestra'!$F$8:$F$42)-MIN(ROW('03.Muestra'!$D$8:$D$42))+1,""),ROW()-1766)),"")</f>
        <v>https://www.comunidad.madrid/hospital/clinicosancarlos/comunicacion/videoteca</v>
      </c>
      <c r="D1775" s="130" t="s">
        <v>26</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Noticias</v>
      </c>
      <c r="C1776" s="114" t="str" cm="1">
        <f t="array" ref="C1776">IFERROR(INDEX('03.Muestra'!$F$8:$F$42,SMALL(IF("Página Web"='03.Muestra'!$D$8:$D$42,ROW('03.Muestra'!$F$8:$F$42)-MIN(ROW('03.Muestra'!$D$8:$D$42))+1,""),ROW()-1766)),"")</f>
        <v>https://www.comunidad.madrid/hospital/clinicosancarlos/comunicacion/noticias</v>
      </c>
      <c r="D1776" s="130" t="s">
        <v>26</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Nosotros</v>
      </c>
      <c r="C1777" s="114" t="str" cm="1">
        <f t="array" ref="C1777">IFERROR(INDEX('03.Muestra'!$F$8:$F$42,SMALL(IF("Página Web"='03.Muestra'!$D$8:$D$42,ROW('03.Muestra'!$F$8:$F$42)-MIN(ROW('03.Muestra'!$D$8:$D$42))+1,""),ROW()-1766)),"")</f>
        <v>https://www.comunidad.madrid/hospital/clinicosancarlos/nosotros</v>
      </c>
      <c r="D1777" s="130" t="s">
        <v>26</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Gestión Ambiental</v>
      </c>
      <c r="C1778" s="114" t="str" cm="1">
        <f t="array" ref="C1778">IFERROR(INDEX('03.Muestra'!$F$8:$F$42,SMALL(IF("Página Web"='03.Muestra'!$D$8:$D$42,ROW('03.Muestra'!$F$8:$F$42)-MIN(ROW('03.Muestra'!$D$8:$D$42))+1,""),ROW()-1766)),"")</f>
        <v>https://www.comunidad.madrid/hospital/clinicosancarlos/nosotros/gestion-ambiental</v>
      </c>
      <c r="D1778" s="130" t="s">
        <v>26</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Proveedores</v>
      </c>
      <c r="C1779" s="114" t="str" cm="1">
        <f t="array" ref="C1779">IFERROR(INDEX('03.Muestra'!$F$8:$F$42,SMALL(IF("Página Web"='03.Muestra'!$D$8:$D$42,ROW('03.Muestra'!$F$8:$F$42)-MIN(ROW('03.Muestra'!$D$8:$D$42))+1,""),ROW()-1766)),"")</f>
        <v>https://www.comunidad.madrid/hospital/clinicosancarlos/nosotros/proveedores-0</v>
      </c>
      <c r="D1779" s="130" t="s">
        <v>26</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Aviso legal</v>
      </c>
      <c r="C1780" s="114" t="str" cm="1">
        <f t="array" ref="C1780">IFERROR(INDEX('03.Muestra'!$F$8:$F$42,SMALL(IF("Página Web"='03.Muestra'!$D$8:$D$42,ROW('03.Muestra'!$F$8:$F$42)-MIN(ROW('03.Muestra'!$D$8:$D$42))+1,""),ROW()-1766)),"")</f>
        <v>https://www.comunidad.madrid/hospital/clinicosancarlos/aviso-legal-privacidad</v>
      </c>
      <c r="D1780" s="130" t="s">
        <v>26</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Mapa web</v>
      </c>
      <c r="C1781" s="114" t="str" cm="1">
        <f t="array" ref="C1781">IFERROR(INDEX('03.Muestra'!$F$8:$F$42,SMALL(IF("Página Web"='03.Muestra'!$D$8:$D$42,ROW('03.Muestra'!$F$8:$F$42)-MIN(ROW('03.Muestra'!$D$8:$D$42))+1,""),ROW()-1766)),"")</f>
        <v>https://www.comunidad.madrid/hospital/clinicosancarlos/sitemap</v>
      </c>
      <c r="D1781" s="130" t="s">
        <v>26</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Accesibilidad</v>
      </c>
      <c r="C1782" s="114" t="str" cm="1">
        <f t="array" ref="C1782">IFERROR(INDEX('03.Muestra'!$F$8:$F$42,SMALL(IF("Página Web"='03.Muestra'!$D$8:$D$42,ROW('03.Muestra'!$F$8:$F$42)-MIN(ROW('03.Muestra'!$D$8:$D$42))+1,""),ROW()-1766)),"")</f>
        <v>https://www.comunidad.madrid/hospital/clinicosancarlos/declaracion-accesibilidad</v>
      </c>
      <c r="D1782" s="130" t="s">
        <v>26</v>
      </c>
      <c r="E1782" s="107" t="str">
        <f t="shared" si="92"/>
        <v/>
      </c>
      <c r="F1782" s="19"/>
      <c r="G1782" s="19"/>
      <c r="H1782" s="19"/>
      <c r="I1782" s="19"/>
      <c r="J1782" s="19"/>
      <c r="K1782" s="233"/>
    </row>
    <row r="1783" spans="1:11" ht="12" customHeight="1">
      <c r="A1783" s="219" t="str" cm="1">
        <f t="array" ref="A1783">IFERROR(INDEX('03.Muestra'!$B$8:$B$42,SMALL(IF("Página Web"='03.Muestra'!$D$8:$D$42,ROW('03.Muestra'!$B$8:$B$42)-MIN(ROW('03.Muestra'!$D$8:$D$42))+1,""),ROW()-1766)),"")</f>
        <v/>
      </c>
      <c r="B1783" s="114" t="str" cm="1">
        <f t="array" ref="B1783">IFERROR(INDEX('03.Muestra'!$C$8:$C$42,SMALL(IF("Página Web"='03.Muestra'!$D$8:$D$42,ROW('03.Muestra'!$C$8:$C$42)-MIN(ROW('03.Muestra'!$D$8:$D$42))+1,""),ROW()-1766)),"")</f>
        <v/>
      </c>
      <c r="C1783" s="114" t="str" cm="1">
        <f t="array" ref="C1783">IFERROR(INDEX('03.Muestra'!$F$8:$F$42,SMALL(IF("Página Web"='03.Muestra'!$D$8:$D$42,ROW('03.Muestra'!$F$8:$F$42)-MIN(ROW('03.Muestra'!$D$8:$D$42))+1,""),ROW()-1766)),"")</f>
        <v/>
      </c>
      <c r="D1783" s="130" t="str">
        <f t="shared" ref="D1783:D1801" si="93">IF(AND(B1783&lt;&gt;"",C1783&lt;&gt;""),"N/T","")</f>
        <v/>
      </c>
      <c r="E1783" s="107" t="str">
        <f t="shared" si="92"/>
        <v/>
      </c>
      <c r="F1783" s="19"/>
      <c r="G1783" s="19"/>
      <c r="H1783" s="19"/>
      <c r="I1783" s="19"/>
      <c r="J1783" s="19"/>
      <c r="K1783" s="233"/>
    </row>
    <row r="1784" spans="1:11" ht="12" customHeight="1">
      <c r="A1784" s="219" t="str" cm="1">
        <f t="array" ref="A1784">IFERROR(INDEX('03.Muestra'!$B$8:$B$42,SMALL(IF("Página Web"='03.Muestra'!$D$8:$D$42,ROW('03.Muestra'!$B$8:$B$42)-MIN(ROW('03.Muestra'!$D$8:$D$42))+1,""),ROW()-1766)),"")</f>
        <v/>
      </c>
      <c r="B1784" s="114" t="str" cm="1">
        <f t="array" ref="B1784">IFERROR(INDEX('03.Muestra'!$C$8:$C$42,SMALL(IF("Página Web"='03.Muestra'!$D$8:$D$42,ROW('03.Muestra'!$C$8:$C$42)-MIN(ROW('03.Muestra'!$D$8:$D$42))+1,""),ROW()-1766)),"")</f>
        <v/>
      </c>
      <c r="C1784" s="114" t="str" cm="1">
        <f t="array" ref="C1784">IFERROR(INDEX('03.Muestra'!$F$8:$F$42,SMALL(IF("Página Web"='03.Muestra'!$D$8:$D$42,ROW('03.Muestra'!$F$8:$F$42)-MIN(ROW('03.Muestra'!$D$8:$D$42))+1,""),ROW()-1766)),"")</f>
        <v/>
      </c>
      <c r="D1784" s="130" t="str">
        <f t="shared" si="93"/>
        <v/>
      </c>
      <c r="E1784" s="107" t="str">
        <f t="shared" si="92"/>
        <v/>
      </c>
      <c r="F1784" s="19"/>
      <c r="G1784" s="19"/>
      <c r="H1784" s="19"/>
      <c r="I1784" s="19"/>
      <c r="J1784" s="19"/>
      <c r="K1784" s="233"/>
    </row>
    <row r="1785" spans="1:11" ht="12" customHeight="1">
      <c r="A1785" s="219" t="str" cm="1">
        <f t="array" ref="A1785">IFERROR(INDEX('03.Muestra'!$B$8:$B$42,SMALL(IF("Página Web"='03.Muestra'!$D$8:$D$42,ROW('03.Muestra'!$B$8:$B$42)-MIN(ROW('03.Muestra'!$D$8:$D$42))+1,""),ROW()-1766)),"")</f>
        <v/>
      </c>
      <c r="B1785" s="114" t="str" cm="1">
        <f t="array" ref="B1785">IFERROR(INDEX('03.Muestra'!$C$8:$C$42,SMALL(IF("Página Web"='03.Muestra'!$D$8:$D$42,ROW('03.Muestra'!$C$8:$C$42)-MIN(ROW('03.Muestra'!$D$8:$D$42))+1,""),ROW()-1766)),"")</f>
        <v/>
      </c>
      <c r="C1785" s="114" t="str" cm="1">
        <f t="array" ref="C1785">IFERROR(INDEX('03.Muestra'!$F$8:$F$42,SMALL(IF("Página Web"='03.Muestra'!$D$8:$D$42,ROW('03.Muestra'!$F$8:$F$42)-MIN(ROW('03.Muestra'!$D$8:$D$42))+1,""),ROW()-1766)),"")</f>
        <v/>
      </c>
      <c r="D1785" s="130" t="str">
        <f t="shared" si="93"/>
        <v/>
      </c>
      <c r="E1785" s="107" t="str">
        <f t="shared" si="92"/>
        <v/>
      </c>
      <c r="F1785" s="19"/>
      <c r="G1785" s="19"/>
      <c r="H1785" s="19"/>
      <c r="I1785" s="19"/>
      <c r="J1785" s="19"/>
      <c r="K1785" s="233"/>
    </row>
    <row r="1786" spans="1:11" ht="12" customHeight="1">
      <c r="A1786" s="219" t="str" cm="1">
        <f t="array" ref="A1786">IFERROR(INDEX('03.Muestra'!$B$8:$B$42,SMALL(IF("Página Web"='03.Muestra'!$D$8:$D$42,ROW('03.Muestra'!$B$8:$B$42)-MIN(ROW('03.Muestra'!$D$8:$D$42))+1,""),ROW()-1766)),"")</f>
        <v/>
      </c>
      <c r="B1786" s="114" t="str" cm="1">
        <f t="array" ref="B1786">IFERROR(INDEX('03.Muestra'!$C$8:$C$42,SMALL(IF("Página Web"='03.Muestra'!$D$8:$D$42,ROW('03.Muestra'!$C$8:$C$42)-MIN(ROW('03.Muestra'!$D$8:$D$42))+1,""),ROW()-1766)),"")</f>
        <v/>
      </c>
      <c r="C1786" s="114" t="str" cm="1">
        <f t="array" ref="C1786">IFERROR(INDEX('03.Muestra'!$F$8:$F$42,SMALL(IF("Página Web"='03.Muestra'!$D$8:$D$42,ROW('03.Muestra'!$F$8:$F$42)-MIN(ROW('03.Muestra'!$D$8:$D$42))+1,""),ROW()-1766)),"")</f>
        <v/>
      </c>
      <c r="D1786" s="130" t="str">
        <f t="shared" si="93"/>
        <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si="93"/>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268</v>
      </c>
      <c r="B1804" s="24" t="s">
        <v>90</v>
      </c>
      <c r="C1804" s="25" t="s">
        <v>420</v>
      </c>
      <c r="D1804" s="26" t="s">
        <v>32</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https://www.comunidad.madrid/hospital/clinicosancarlos/</v>
      </c>
      <c r="D1805" s="130" t="s">
        <v>26</v>
      </c>
      <c r="E1805" s="107" t="str">
        <f t="shared" ref="E1805:E1839" si="94">IF(D1805&lt;&gt;"",IF(AND(B1805&lt;&gt;"",C1805&lt;&gt;""),"","ERR"),"")</f>
        <v/>
      </c>
      <c r="F1805" s="115" t="s">
        <v>33</v>
      </c>
      <c r="G1805" s="116" t="s">
        <v>37</v>
      </c>
      <c r="H1805" s="117" t="s">
        <v>35</v>
      </c>
      <c r="I1805" s="118" t="s">
        <v>28</v>
      </c>
      <c r="J1805" s="119" t="s">
        <v>26</v>
      </c>
      <c r="K1805" s="226" t="s">
        <v>474</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Ciudadanos</v>
      </c>
      <c r="C1806" s="114" t="str" cm="1">
        <f t="array" ref="C1806">IFERROR(INDEX('03.Muestra'!$F$8:$F$42,SMALL(IF("Página Web"='03.Muestra'!$D$8:$D$42,ROW('03.Muestra'!$F$8:$F$42)-MIN(ROW('03.Muestra'!$D$8:$D$42))+1,""),ROW()-1804)),"")</f>
        <v>https://www.comunidad.madrid/hospital/clinicosancarlos/ciudadanos</v>
      </c>
      <c r="D1806" s="130" t="s">
        <v>26</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0</v>
      </c>
      <c r="J1806" s="120">
        <f ca="1">COUNTIF($D1805:INDIRECT("$D" &amp;  SUM(ROW()-1,'03.Muestra'!$D$45)-1),J1805)</f>
        <v>16</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Consultas externas</v>
      </c>
      <c r="C1807" s="114" t="str" cm="1">
        <f t="array" ref="C1807">IFERROR(INDEX('03.Muestra'!$F$8:$F$42,SMALL(IF("Página Web"='03.Muestra'!$D$8:$D$42,ROW('03.Muestra'!$F$8:$F$42)-MIN(ROW('03.Muestra'!$D$8:$D$42))+1,""),ROW()-1804)),"")</f>
        <v>https://www.comunidad.madrid/hospital/clinicosancarlos/ciudadanos/consultas-externas</v>
      </c>
      <c r="D1807" s="130" t="s">
        <v>26</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Donación</v>
      </c>
      <c r="C1808" s="114" t="str" cm="1">
        <f t="array" ref="C1808">IFERROR(INDEX('03.Muestra'!$F$8:$F$42,SMALL(IF("Página Web"='03.Muestra'!$D$8:$D$42,ROW('03.Muestra'!$F$8:$F$42)-MIN(ROW('03.Muestra'!$D$8:$D$42))+1,""),ROW()-1804)),"")</f>
        <v>https://www.comunidad.madrid/hospital/clinicosancarlos/ciudadanos/donacion-0</v>
      </c>
      <c r="D1808" s="130" t="s">
        <v>26</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Profesionales</v>
      </c>
      <c r="C1809" s="114" t="str" cm="1">
        <f t="array" ref="C1809">IFERROR(INDEX('03.Muestra'!$F$8:$F$42,SMALL(IF("Página Web"='03.Muestra'!$D$8:$D$42,ROW('03.Muestra'!$F$8:$F$42)-MIN(ROW('03.Muestra'!$D$8:$D$42))+1,""),ROW()-1804)),"")</f>
        <v>https://www.comunidad.madrid/hospital/clinicosancarlos/profesionales</v>
      </c>
      <c r="D1809" s="130" t="s">
        <v>26</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Docencia</v>
      </c>
      <c r="C1810" s="114" t="str" cm="1">
        <f t="array" ref="C1810">IFERROR(INDEX('03.Muestra'!$F$8:$F$42,SMALL(IF("Página Web"='03.Muestra'!$D$8:$D$42,ROW('03.Muestra'!$F$8:$F$42)-MIN(ROW('03.Muestra'!$D$8:$D$42))+1,""),ROW()-1804)),"")</f>
        <v>https://www.comunidad.madrid/hospital/clinicosancarlos/profesionales/docencia</v>
      </c>
      <c r="D1810" s="130" t="s">
        <v>26</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Referencia</v>
      </c>
      <c r="C1811" s="114" t="str" cm="1">
        <f t="array" ref="C1811">IFERROR(INDEX('03.Muestra'!$F$8:$F$42,SMALL(IF("Página Web"='03.Muestra'!$D$8:$D$42,ROW('03.Muestra'!$F$8:$F$42)-MIN(ROW('03.Muestra'!$D$8:$D$42))+1,""),ROW()-1804)),"")</f>
        <v>https://www.comunidad.madrid/hospital/clinicosancarlos/profesionales/unidades-referencia-nacional-redes-europeas</v>
      </c>
      <c r="D1811" s="130" t="s">
        <v>26</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Comunicación</v>
      </c>
      <c r="C1812" s="114" t="str" cm="1">
        <f t="array" ref="C1812">IFERROR(INDEX('03.Muestra'!$F$8:$F$42,SMALL(IF("Página Web"='03.Muestra'!$D$8:$D$42,ROW('03.Muestra'!$F$8:$F$42)-MIN(ROW('03.Muestra'!$D$8:$D$42))+1,""),ROW()-1804)),"")</f>
        <v>https://www.comunidad.madrid/hospital/clinicosancarlos/comunicacion</v>
      </c>
      <c r="D1812" s="130" t="s">
        <v>26</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Videoteca</v>
      </c>
      <c r="C1813" s="114" t="str" cm="1">
        <f t="array" ref="C1813">IFERROR(INDEX('03.Muestra'!$F$8:$F$42,SMALL(IF("Página Web"='03.Muestra'!$D$8:$D$42,ROW('03.Muestra'!$F$8:$F$42)-MIN(ROW('03.Muestra'!$D$8:$D$42))+1,""),ROW()-1804)),"")</f>
        <v>https://www.comunidad.madrid/hospital/clinicosancarlos/comunicacion/videoteca</v>
      </c>
      <c r="D1813" s="130" t="s">
        <v>26</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Noticias</v>
      </c>
      <c r="C1814" s="114" t="str" cm="1">
        <f t="array" ref="C1814">IFERROR(INDEX('03.Muestra'!$F$8:$F$42,SMALL(IF("Página Web"='03.Muestra'!$D$8:$D$42,ROW('03.Muestra'!$F$8:$F$42)-MIN(ROW('03.Muestra'!$D$8:$D$42))+1,""),ROW()-1804)),"")</f>
        <v>https://www.comunidad.madrid/hospital/clinicosancarlos/comunicacion/noticias</v>
      </c>
      <c r="D1814" s="130" t="s">
        <v>26</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Nosotros</v>
      </c>
      <c r="C1815" s="114" t="str" cm="1">
        <f t="array" ref="C1815">IFERROR(INDEX('03.Muestra'!$F$8:$F$42,SMALL(IF("Página Web"='03.Muestra'!$D$8:$D$42,ROW('03.Muestra'!$F$8:$F$42)-MIN(ROW('03.Muestra'!$D$8:$D$42))+1,""),ROW()-1804)),"")</f>
        <v>https://www.comunidad.madrid/hospital/clinicosancarlos/nosotros</v>
      </c>
      <c r="D1815" s="130" t="s">
        <v>26</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Gestión Ambiental</v>
      </c>
      <c r="C1816" s="114" t="str" cm="1">
        <f t="array" ref="C1816">IFERROR(INDEX('03.Muestra'!$F$8:$F$42,SMALL(IF("Página Web"='03.Muestra'!$D$8:$D$42,ROW('03.Muestra'!$F$8:$F$42)-MIN(ROW('03.Muestra'!$D$8:$D$42))+1,""),ROW()-1804)),"")</f>
        <v>https://www.comunidad.madrid/hospital/clinicosancarlos/nosotros/gestion-ambiental</v>
      </c>
      <c r="D1816" s="130" t="s">
        <v>26</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Proveedores</v>
      </c>
      <c r="C1817" s="114" t="str" cm="1">
        <f t="array" ref="C1817">IFERROR(INDEX('03.Muestra'!$F$8:$F$42,SMALL(IF("Página Web"='03.Muestra'!$D$8:$D$42,ROW('03.Muestra'!$F$8:$F$42)-MIN(ROW('03.Muestra'!$D$8:$D$42))+1,""),ROW()-1804)),"")</f>
        <v>https://www.comunidad.madrid/hospital/clinicosancarlos/nosotros/proveedores-0</v>
      </c>
      <c r="D1817" s="130" t="s">
        <v>26</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Aviso legal</v>
      </c>
      <c r="C1818" s="114" t="str" cm="1">
        <f t="array" ref="C1818">IFERROR(INDEX('03.Muestra'!$F$8:$F$42,SMALL(IF("Página Web"='03.Muestra'!$D$8:$D$42,ROW('03.Muestra'!$F$8:$F$42)-MIN(ROW('03.Muestra'!$D$8:$D$42))+1,""),ROW()-1804)),"")</f>
        <v>https://www.comunidad.madrid/hospital/clinicosancarlos/aviso-legal-privacidad</v>
      </c>
      <c r="D1818" s="130" t="s">
        <v>26</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Mapa web</v>
      </c>
      <c r="C1819" s="114" t="str" cm="1">
        <f t="array" ref="C1819">IFERROR(INDEX('03.Muestra'!$F$8:$F$42,SMALL(IF("Página Web"='03.Muestra'!$D$8:$D$42,ROW('03.Muestra'!$F$8:$F$42)-MIN(ROW('03.Muestra'!$D$8:$D$42))+1,""),ROW()-1804)),"")</f>
        <v>https://www.comunidad.madrid/hospital/clinicosancarlos/sitemap</v>
      </c>
      <c r="D1819" s="130" t="s">
        <v>26</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Accesibilidad</v>
      </c>
      <c r="C1820" s="114" t="str" cm="1">
        <f t="array" ref="C1820">IFERROR(INDEX('03.Muestra'!$F$8:$F$42,SMALL(IF("Página Web"='03.Muestra'!$D$8:$D$42,ROW('03.Muestra'!$F$8:$F$42)-MIN(ROW('03.Muestra'!$D$8:$D$42))+1,""),ROW()-1804)),"")</f>
        <v>https://www.comunidad.madrid/hospital/clinicosancarlos/declaracion-accesibilidad</v>
      </c>
      <c r="D1820" s="130" t="s">
        <v>26</v>
      </c>
      <c r="E1820" s="107" t="str">
        <f t="shared" si="94"/>
        <v/>
      </c>
      <c r="F1820" s="19"/>
      <c r="G1820" s="19"/>
      <c r="H1820" s="19"/>
      <c r="I1820" s="19"/>
      <c r="J1820" s="19"/>
      <c r="K1820" s="233"/>
    </row>
    <row r="1821" spans="1:11" ht="12" customHeight="1">
      <c r="A1821" s="219" t="str" cm="1">
        <f t="array" ref="A1821">IFERROR(INDEX('03.Muestra'!$B$8:$B$42,SMALL(IF("Página Web"='03.Muestra'!$D$8:$D$42,ROW('03.Muestra'!$B$8:$B$42)-MIN(ROW('03.Muestra'!$D$8:$D$42))+1,""),ROW()-1804)),"")</f>
        <v/>
      </c>
      <c r="B1821" s="114" t="str" cm="1">
        <f t="array" ref="B1821">IFERROR(INDEX('03.Muestra'!$C$8:$C$42,SMALL(IF("Página Web"='03.Muestra'!$D$8:$D$42,ROW('03.Muestra'!$C$8:$C$42)-MIN(ROW('03.Muestra'!$D$8:$D$42))+1,""),ROW()-1804)),"")</f>
        <v/>
      </c>
      <c r="C1821" s="114" t="str" cm="1">
        <f t="array" ref="C1821">IFERROR(INDEX('03.Muestra'!$F$8:$F$42,SMALL(IF("Página Web"='03.Muestra'!$D$8:$D$42,ROW('03.Muestra'!$F$8:$F$42)-MIN(ROW('03.Muestra'!$D$8:$D$42))+1,""),ROW()-1804)),"")</f>
        <v/>
      </c>
      <c r="D1821" s="130" t="str">
        <f t="shared" ref="D1821:D1839" si="95">IF(AND(B1821&lt;&gt;"",C1821&lt;&gt;""),"N/T","")</f>
        <v/>
      </c>
      <c r="E1821" s="107" t="str">
        <f t="shared" si="94"/>
        <v/>
      </c>
      <c r="F1821" s="19"/>
      <c r="G1821" s="19"/>
      <c r="H1821" s="19"/>
      <c r="I1821" s="19"/>
      <c r="J1821" s="19"/>
      <c r="K1821" s="233"/>
    </row>
    <row r="1822" spans="1:11" ht="12" customHeight="1">
      <c r="A1822" s="219" t="str" cm="1">
        <f t="array" ref="A1822">IFERROR(INDEX('03.Muestra'!$B$8:$B$42,SMALL(IF("Página Web"='03.Muestra'!$D$8:$D$42,ROW('03.Muestra'!$B$8:$B$42)-MIN(ROW('03.Muestra'!$D$8:$D$42))+1,""),ROW()-1804)),"")</f>
        <v/>
      </c>
      <c r="B1822" s="114" t="str" cm="1">
        <f t="array" ref="B1822">IFERROR(INDEX('03.Muestra'!$C$8:$C$42,SMALL(IF("Página Web"='03.Muestra'!$D$8:$D$42,ROW('03.Muestra'!$C$8:$C$42)-MIN(ROW('03.Muestra'!$D$8:$D$42))+1,""),ROW()-1804)),"")</f>
        <v/>
      </c>
      <c r="C1822" s="114" t="str" cm="1">
        <f t="array" ref="C1822">IFERROR(INDEX('03.Muestra'!$F$8:$F$42,SMALL(IF("Página Web"='03.Muestra'!$D$8:$D$42,ROW('03.Muestra'!$F$8:$F$42)-MIN(ROW('03.Muestra'!$D$8:$D$42))+1,""),ROW()-1804)),"")</f>
        <v/>
      </c>
      <c r="D1822" s="130" t="str">
        <f t="shared" si="95"/>
        <v/>
      </c>
      <c r="E1822" s="107" t="str">
        <f t="shared" si="94"/>
        <v/>
      </c>
      <c r="F1822" s="19"/>
      <c r="G1822" s="19"/>
      <c r="H1822" s="19"/>
      <c r="I1822" s="19"/>
      <c r="J1822" s="19"/>
      <c r="K1822" s="233"/>
    </row>
    <row r="1823" spans="1:11" ht="12" customHeight="1">
      <c r="A1823" s="219" t="str" cm="1">
        <f t="array" ref="A1823">IFERROR(INDEX('03.Muestra'!$B$8:$B$42,SMALL(IF("Página Web"='03.Muestra'!$D$8:$D$42,ROW('03.Muestra'!$B$8:$B$42)-MIN(ROW('03.Muestra'!$D$8:$D$42))+1,""),ROW()-1804)),"")</f>
        <v/>
      </c>
      <c r="B1823" s="114" t="str" cm="1">
        <f t="array" ref="B1823">IFERROR(INDEX('03.Muestra'!$C$8:$C$42,SMALL(IF("Página Web"='03.Muestra'!$D$8:$D$42,ROW('03.Muestra'!$C$8:$C$42)-MIN(ROW('03.Muestra'!$D$8:$D$42))+1,""),ROW()-1804)),"")</f>
        <v/>
      </c>
      <c r="C1823" s="114" t="str" cm="1">
        <f t="array" ref="C1823">IFERROR(INDEX('03.Muestra'!$F$8:$F$42,SMALL(IF("Página Web"='03.Muestra'!$D$8:$D$42,ROW('03.Muestra'!$F$8:$F$42)-MIN(ROW('03.Muestra'!$D$8:$D$42))+1,""),ROW()-1804)),"")</f>
        <v/>
      </c>
      <c r="D1823" s="130" t="str">
        <f t="shared" si="95"/>
        <v/>
      </c>
      <c r="E1823" s="107" t="str">
        <f t="shared" si="94"/>
        <v/>
      </c>
      <c r="F1823" s="19"/>
      <c r="G1823" s="19"/>
      <c r="H1823" s="19"/>
      <c r="I1823" s="19"/>
      <c r="J1823" s="19"/>
      <c r="K1823" s="233"/>
    </row>
    <row r="1824" spans="1:11" ht="12" customHeight="1">
      <c r="A1824" s="219" t="str" cm="1">
        <f t="array" ref="A1824">IFERROR(INDEX('03.Muestra'!$B$8:$B$42,SMALL(IF("Página Web"='03.Muestra'!$D$8:$D$42,ROW('03.Muestra'!$B$8:$B$42)-MIN(ROW('03.Muestra'!$D$8:$D$42))+1,""),ROW()-1804)),"")</f>
        <v/>
      </c>
      <c r="B1824" s="114" t="str" cm="1">
        <f t="array" ref="B1824">IFERROR(INDEX('03.Muestra'!$C$8:$C$42,SMALL(IF("Página Web"='03.Muestra'!$D$8:$D$42,ROW('03.Muestra'!$C$8:$C$42)-MIN(ROW('03.Muestra'!$D$8:$D$42))+1,""),ROW()-1804)),"")</f>
        <v/>
      </c>
      <c r="C1824" s="114" t="str" cm="1">
        <f t="array" ref="C1824">IFERROR(INDEX('03.Muestra'!$F$8:$F$42,SMALL(IF("Página Web"='03.Muestra'!$D$8:$D$42,ROW('03.Muestra'!$F$8:$F$42)-MIN(ROW('03.Muestra'!$D$8:$D$42))+1,""),ROW()-1804)),"")</f>
        <v/>
      </c>
      <c r="D1824" s="130" t="str">
        <f t="shared" si="95"/>
        <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si="95"/>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268</v>
      </c>
      <c r="B1842" s="24" t="s">
        <v>90</v>
      </c>
      <c r="C1842" s="25" t="s">
        <v>421</v>
      </c>
      <c r="D1842" s="26" t="s">
        <v>32</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https://www.comunidad.madrid/hospital/clinicosancarlos/</v>
      </c>
      <c r="D1843" s="130" t="s">
        <v>35</v>
      </c>
      <c r="E1843" s="107" t="str">
        <f t="shared" ref="E1843:E1877" si="96">IF(D1843&lt;&gt;"",IF(AND(B1843&lt;&gt;"",C1843&lt;&gt;""),"","ERR"),"")</f>
        <v/>
      </c>
      <c r="F1843" s="115" t="s">
        <v>33</v>
      </c>
      <c r="G1843" s="116" t="s">
        <v>37</v>
      </c>
      <c r="H1843" s="117" t="s">
        <v>35</v>
      </c>
      <c r="I1843" s="118" t="s">
        <v>28</v>
      </c>
      <c r="J1843" s="119" t="s">
        <v>26</v>
      </c>
      <c r="K1843" s="226" t="s">
        <v>474</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Ciudadanos</v>
      </c>
      <c r="C1844" s="114" t="str" cm="1">
        <f t="array" ref="C1844">IFERROR(INDEX('03.Muestra'!$F$8:$F$42,SMALL(IF("Página Web"='03.Muestra'!$D$8:$D$42,ROW('03.Muestra'!$F$8:$F$42)-MIN(ROW('03.Muestra'!$D$8:$D$42))+1,""),ROW()-1842)),"")</f>
        <v>https://www.comunidad.madrid/hospital/clinicosancarlos/ciudadanos</v>
      </c>
      <c r="D1844" s="130" t="s">
        <v>35</v>
      </c>
      <c r="E1844" s="107" t="str">
        <f t="shared" si="96"/>
        <v/>
      </c>
      <c r="F1844" s="120">
        <f ca="1">COUNTIF($D1843:INDIRECT("$D" &amp;  SUM(ROW()-1,'03.Muestra'!$D$45)-1),F1843)</f>
        <v>0</v>
      </c>
      <c r="G1844" s="120">
        <f ca="1">COUNTIF($D1843:INDIRECT("$D" &amp;  SUM(ROW()-1,'03.Muestra'!$D$45)-1),G1843)</f>
        <v>0</v>
      </c>
      <c r="H1844" s="120">
        <f ca="1">COUNTIF($D1843:INDIRECT("$D" &amp;  SUM(ROW()-1,'03.Muestra'!$D$45)-1),H1843)</f>
        <v>16</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Consultas externas</v>
      </c>
      <c r="C1845" s="114" t="str" cm="1">
        <f t="array" ref="C1845">IFERROR(INDEX('03.Muestra'!$F$8:$F$42,SMALL(IF("Página Web"='03.Muestra'!$D$8:$D$42,ROW('03.Muestra'!$F$8:$F$42)-MIN(ROW('03.Muestra'!$D$8:$D$42))+1,""),ROW()-1842)),"")</f>
        <v>https://www.comunidad.madrid/hospital/clinicosancarlos/ciudadanos/consultas-externas</v>
      </c>
      <c r="D1845" s="130" t="s">
        <v>35</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Donación</v>
      </c>
      <c r="C1846" s="114" t="str" cm="1">
        <f t="array" ref="C1846">IFERROR(INDEX('03.Muestra'!$F$8:$F$42,SMALL(IF("Página Web"='03.Muestra'!$D$8:$D$42,ROW('03.Muestra'!$F$8:$F$42)-MIN(ROW('03.Muestra'!$D$8:$D$42))+1,""),ROW()-1842)),"")</f>
        <v>https://www.comunidad.madrid/hospital/clinicosancarlos/ciudadanos/donacion-0</v>
      </c>
      <c r="D1846" s="130" t="s">
        <v>35</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Profesionales</v>
      </c>
      <c r="C1847" s="114" t="str" cm="1">
        <f t="array" ref="C1847">IFERROR(INDEX('03.Muestra'!$F$8:$F$42,SMALL(IF("Página Web"='03.Muestra'!$D$8:$D$42,ROW('03.Muestra'!$F$8:$F$42)-MIN(ROW('03.Muestra'!$D$8:$D$42))+1,""),ROW()-1842)),"")</f>
        <v>https://www.comunidad.madrid/hospital/clinicosancarlos/profesionales</v>
      </c>
      <c r="D1847" s="130" t="s">
        <v>35</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Docencia</v>
      </c>
      <c r="C1848" s="114" t="str" cm="1">
        <f t="array" ref="C1848">IFERROR(INDEX('03.Muestra'!$F$8:$F$42,SMALL(IF("Página Web"='03.Muestra'!$D$8:$D$42,ROW('03.Muestra'!$F$8:$F$42)-MIN(ROW('03.Muestra'!$D$8:$D$42))+1,""),ROW()-1842)),"")</f>
        <v>https://www.comunidad.madrid/hospital/clinicosancarlos/profesionales/docencia</v>
      </c>
      <c r="D1848" s="130" t="s">
        <v>35</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Referencia</v>
      </c>
      <c r="C1849" s="114" t="str" cm="1">
        <f t="array" ref="C1849">IFERROR(INDEX('03.Muestra'!$F$8:$F$42,SMALL(IF("Página Web"='03.Muestra'!$D$8:$D$42,ROW('03.Muestra'!$F$8:$F$42)-MIN(ROW('03.Muestra'!$D$8:$D$42))+1,""),ROW()-1842)),"")</f>
        <v>https://www.comunidad.madrid/hospital/clinicosancarlos/profesionales/unidades-referencia-nacional-redes-europeas</v>
      </c>
      <c r="D1849" s="130" t="s">
        <v>35</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Comunicación</v>
      </c>
      <c r="C1850" s="114" t="str" cm="1">
        <f t="array" ref="C1850">IFERROR(INDEX('03.Muestra'!$F$8:$F$42,SMALL(IF("Página Web"='03.Muestra'!$D$8:$D$42,ROW('03.Muestra'!$F$8:$F$42)-MIN(ROW('03.Muestra'!$D$8:$D$42))+1,""),ROW()-1842)),"")</f>
        <v>https://www.comunidad.madrid/hospital/clinicosancarlos/comunicacion</v>
      </c>
      <c r="D1850" s="130" t="s">
        <v>35</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Videoteca</v>
      </c>
      <c r="C1851" s="114" t="str" cm="1">
        <f t="array" ref="C1851">IFERROR(INDEX('03.Muestra'!$F$8:$F$42,SMALL(IF("Página Web"='03.Muestra'!$D$8:$D$42,ROW('03.Muestra'!$F$8:$F$42)-MIN(ROW('03.Muestra'!$D$8:$D$42))+1,""),ROW()-1842)),"")</f>
        <v>https://www.comunidad.madrid/hospital/clinicosancarlos/comunicacion/videoteca</v>
      </c>
      <c r="D1851" s="130" t="s">
        <v>35</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Noticias</v>
      </c>
      <c r="C1852" s="114" t="str" cm="1">
        <f t="array" ref="C1852">IFERROR(INDEX('03.Muestra'!$F$8:$F$42,SMALL(IF("Página Web"='03.Muestra'!$D$8:$D$42,ROW('03.Muestra'!$F$8:$F$42)-MIN(ROW('03.Muestra'!$D$8:$D$42))+1,""),ROW()-1842)),"")</f>
        <v>https://www.comunidad.madrid/hospital/clinicosancarlos/comunicacion/noticias</v>
      </c>
      <c r="D1852" s="130" t="s">
        <v>35</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Nosotros</v>
      </c>
      <c r="C1853" s="114" t="str" cm="1">
        <f t="array" ref="C1853">IFERROR(INDEX('03.Muestra'!$F$8:$F$42,SMALL(IF("Página Web"='03.Muestra'!$D$8:$D$42,ROW('03.Muestra'!$F$8:$F$42)-MIN(ROW('03.Muestra'!$D$8:$D$42))+1,""),ROW()-1842)),"")</f>
        <v>https://www.comunidad.madrid/hospital/clinicosancarlos/nosotros</v>
      </c>
      <c r="D1853" s="130" t="s">
        <v>35</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Gestión Ambiental</v>
      </c>
      <c r="C1854" s="114" t="str" cm="1">
        <f t="array" ref="C1854">IFERROR(INDEX('03.Muestra'!$F$8:$F$42,SMALL(IF("Página Web"='03.Muestra'!$D$8:$D$42,ROW('03.Muestra'!$F$8:$F$42)-MIN(ROW('03.Muestra'!$D$8:$D$42))+1,""),ROW()-1842)),"")</f>
        <v>https://www.comunidad.madrid/hospital/clinicosancarlos/nosotros/gestion-ambiental</v>
      </c>
      <c r="D1854" s="130" t="s">
        <v>35</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Proveedores</v>
      </c>
      <c r="C1855" s="114" t="str" cm="1">
        <f t="array" ref="C1855">IFERROR(INDEX('03.Muestra'!$F$8:$F$42,SMALL(IF("Página Web"='03.Muestra'!$D$8:$D$42,ROW('03.Muestra'!$F$8:$F$42)-MIN(ROW('03.Muestra'!$D$8:$D$42))+1,""),ROW()-1842)),"")</f>
        <v>https://www.comunidad.madrid/hospital/clinicosancarlos/nosotros/proveedores-0</v>
      </c>
      <c r="D1855" s="130" t="s">
        <v>35</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Aviso legal</v>
      </c>
      <c r="C1856" s="114" t="str" cm="1">
        <f t="array" ref="C1856">IFERROR(INDEX('03.Muestra'!$F$8:$F$42,SMALL(IF("Página Web"='03.Muestra'!$D$8:$D$42,ROW('03.Muestra'!$F$8:$F$42)-MIN(ROW('03.Muestra'!$D$8:$D$42))+1,""),ROW()-1842)),"")</f>
        <v>https://www.comunidad.madrid/hospital/clinicosancarlos/aviso-legal-privacidad</v>
      </c>
      <c r="D1856" s="130" t="s">
        <v>35</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Mapa web</v>
      </c>
      <c r="C1857" s="114" t="str" cm="1">
        <f t="array" ref="C1857">IFERROR(INDEX('03.Muestra'!$F$8:$F$42,SMALL(IF("Página Web"='03.Muestra'!$D$8:$D$42,ROW('03.Muestra'!$F$8:$F$42)-MIN(ROW('03.Muestra'!$D$8:$D$42))+1,""),ROW()-1842)),"")</f>
        <v>https://www.comunidad.madrid/hospital/clinicosancarlos/sitemap</v>
      </c>
      <c r="D1857" s="130" t="s">
        <v>35</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Accesibilidad</v>
      </c>
      <c r="C1858" s="114" t="str" cm="1">
        <f t="array" ref="C1858">IFERROR(INDEX('03.Muestra'!$F$8:$F$42,SMALL(IF("Página Web"='03.Muestra'!$D$8:$D$42,ROW('03.Muestra'!$F$8:$F$42)-MIN(ROW('03.Muestra'!$D$8:$D$42))+1,""),ROW()-1842)),"")</f>
        <v>https://www.comunidad.madrid/hospital/clinicosancarlos/declaracion-accesibilidad</v>
      </c>
      <c r="D1858" s="130" t="s">
        <v>35</v>
      </c>
      <c r="E1858" s="107" t="str">
        <f t="shared" si="96"/>
        <v/>
      </c>
      <c r="F1858" s="19"/>
      <c r="G1858" s="19"/>
      <c r="H1858" s="19"/>
      <c r="I1858" s="19"/>
      <c r="J1858" s="19"/>
      <c r="K1858" s="233"/>
    </row>
    <row r="1859" spans="1:11" ht="12" customHeight="1">
      <c r="A1859" s="219" t="str" cm="1">
        <f t="array" ref="A1859">IFERROR(INDEX('03.Muestra'!$B$8:$B$42,SMALL(IF("Página Web"='03.Muestra'!$D$8:$D$42,ROW('03.Muestra'!$B$8:$B$42)-MIN(ROW('03.Muestra'!$D$8:$D$42))+1,""),ROW()-1842)),"")</f>
        <v/>
      </c>
      <c r="B1859" s="114" t="str" cm="1">
        <f t="array" ref="B1859">IFERROR(INDEX('03.Muestra'!$C$8:$C$42,SMALL(IF("Página Web"='03.Muestra'!$D$8:$D$42,ROW('03.Muestra'!$C$8:$C$42)-MIN(ROW('03.Muestra'!$D$8:$D$42))+1,""),ROW()-1842)),"")</f>
        <v/>
      </c>
      <c r="C1859" s="114" t="str" cm="1">
        <f t="array" ref="C1859">IFERROR(INDEX('03.Muestra'!$F$8:$F$42,SMALL(IF("Página Web"='03.Muestra'!$D$8:$D$42,ROW('03.Muestra'!$F$8:$F$42)-MIN(ROW('03.Muestra'!$D$8:$D$42))+1,""),ROW()-1842)),"")</f>
        <v/>
      </c>
      <c r="D1859" s="130" t="str">
        <f t="shared" ref="D1859:D1877" si="97">IF(AND(B1859&lt;&gt;"",C1859&lt;&gt;""),"N/T","")</f>
        <v/>
      </c>
      <c r="E1859" s="107" t="str">
        <f t="shared" si="96"/>
        <v/>
      </c>
      <c r="F1859" s="19"/>
      <c r="G1859" s="19"/>
      <c r="H1859" s="19"/>
      <c r="I1859" s="19"/>
      <c r="J1859" s="19"/>
      <c r="K1859" s="233"/>
    </row>
    <row r="1860" spans="1:11" ht="12" customHeight="1">
      <c r="A1860" s="219" t="str" cm="1">
        <f t="array" ref="A1860">IFERROR(INDEX('03.Muestra'!$B$8:$B$42,SMALL(IF("Página Web"='03.Muestra'!$D$8:$D$42,ROW('03.Muestra'!$B$8:$B$42)-MIN(ROW('03.Muestra'!$D$8:$D$42))+1,""),ROW()-1842)),"")</f>
        <v/>
      </c>
      <c r="B1860" s="114" t="str" cm="1">
        <f t="array" ref="B1860">IFERROR(INDEX('03.Muestra'!$C$8:$C$42,SMALL(IF("Página Web"='03.Muestra'!$D$8:$D$42,ROW('03.Muestra'!$C$8:$C$42)-MIN(ROW('03.Muestra'!$D$8:$D$42))+1,""),ROW()-1842)),"")</f>
        <v/>
      </c>
      <c r="C1860" s="114" t="str" cm="1">
        <f t="array" ref="C1860">IFERROR(INDEX('03.Muestra'!$F$8:$F$42,SMALL(IF("Página Web"='03.Muestra'!$D$8:$D$42,ROW('03.Muestra'!$F$8:$F$42)-MIN(ROW('03.Muestra'!$D$8:$D$42))+1,""),ROW()-1842)),"")</f>
        <v/>
      </c>
      <c r="D1860" s="130" t="str">
        <f t="shared" si="97"/>
        <v/>
      </c>
      <c r="E1860" s="107" t="str">
        <f t="shared" si="96"/>
        <v/>
      </c>
      <c r="F1860" s="19"/>
      <c r="G1860" s="19"/>
      <c r="H1860" s="19"/>
      <c r="I1860" s="19"/>
      <c r="J1860" s="19"/>
      <c r="K1860" s="233"/>
    </row>
    <row r="1861" spans="1:11" ht="12" customHeight="1">
      <c r="A1861" s="219" t="str" cm="1">
        <f t="array" ref="A1861">IFERROR(INDEX('03.Muestra'!$B$8:$B$42,SMALL(IF("Página Web"='03.Muestra'!$D$8:$D$42,ROW('03.Muestra'!$B$8:$B$42)-MIN(ROW('03.Muestra'!$D$8:$D$42))+1,""),ROW()-1842)),"")</f>
        <v/>
      </c>
      <c r="B1861" s="114" t="str" cm="1">
        <f t="array" ref="B1861">IFERROR(INDEX('03.Muestra'!$C$8:$C$42,SMALL(IF("Página Web"='03.Muestra'!$D$8:$D$42,ROW('03.Muestra'!$C$8:$C$42)-MIN(ROW('03.Muestra'!$D$8:$D$42))+1,""),ROW()-1842)),"")</f>
        <v/>
      </c>
      <c r="C1861" s="114" t="str" cm="1">
        <f t="array" ref="C1861">IFERROR(INDEX('03.Muestra'!$F$8:$F$42,SMALL(IF("Página Web"='03.Muestra'!$D$8:$D$42,ROW('03.Muestra'!$F$8:$F$42)-MIN(ROW('03.Muestra'!$D$8:$D$42))+1,""),ROW()-1842)),"")</f>
        <v/>
      </c>
      <c r="D1861" s="130" t="str">
        <f t="shared" si="97"/>
        <v/>
      </c>
      <c r="E1861" s="107" t="str">
        <f t="shared" si="96"/>
        <v/>
      </c>
      <c r="F1861" s="19"/>
      <c r="G1861" s="19"/>
      <c r="H1861" s="19"/>
      <c r="I1861" s="19"/>
      <c r="J1861" s="19"/>
      <c r="K1861" s="233"/>
    </row>
    <row r="1862" spans="1:11" ht="12" customHeight="1">
      <c r="A1862" s="219" t="str" cm="1">
        <f t="array" ref="A1862">IFERROR(INDEX('03.Muestra'!$B$8:$B$42,SMALL(IF("Página Web"='03.Muestra'!$D$8:$D$42,ROW('03.Muestra'!$B$8:$B$42)-MIN(ROW('03.Muestra'!$D$8:$D$42))+1,""),ROW()-1842)),"")</f>
        <v/>
      </c>
      <c r="B1862" s="114" t="str" cm="1">
        <f t="array" ref="B1862">IFERROR(INDEX('03.Muestra'!$C$8:$C$42,SMALL(IF("Página Web"='03.Muestra'!$D$8:$D$42,ROW('03.Muestra'!$C$8:$C$42)-MIN(ROW('03.Muestra'!$D$8:$D$42))+1,""),ROW()-1842)),"")</f>
        <v/>
      </c>
      <c r="C1862" s="114" t="str" cm="1">
        <f t="array" ref="C1862">IFERROR(INDEX('03.Muestra'!$F$8:$F$42,SMALL(IF("Página Web"='03.Muestra'!$D$8:$D$42,ROW('03.Muestra'!$F$8:$F$42)-MIN(ROW('03.Muestra'!$D$8:$D$42))+1,""),ROW()-1842)),"")</f>
        <v/>
      </c>
      <c r="D1862" s="130" t="str">
        <f t="shared" si="97"/>
        <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si="97"/>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268</v>
      </c>
      <c r="B1880" s="24" t="s">
        <v>90</v>
      </c>
      <c r="C1880" s="25" t="s">
        <v>468</v>
      </c>
      <c r="D1880" s="26" t="s">
        <v>32</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https://www.comunidad.madrid/hospital/clinicosancarlos/</v>
      </c>
      <c r="D1881" s="130" t="s">
        <v>28</v>
      </c>
      <c r="E1881" s="107" t="str">
        <f t="shared" ref="E1881:E1915" si="98">IF(D1881&lt;&gt;"",IF(AND(B1881&lt;&gt;"",C1881&lt;&gt;""),"","ERR"),"")</f>
        <v/>
      </c>
      <c r="F1881" s="115" t="s">
        <v>33</v>
      </c>
      <c r="G1881" s="116" t="s">
        <v>37</v>
      </c>
      <c r="H1881" s="117" t="s">
        <v>35</v>
      </c>
      <c r="I1881" s="118" t="s">
        <v>28</v>
      </c>
      <c r="J1881" s="119" t="s">
        <v>26</v>
      </c>
      <c r="K1881" s="226" t="s">
        <v>474</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Ciudadanos</v>
      </c>
      <c r="C1882" s="114" t="str" cm="1">
        <f t="array" ref="C1882">IFERROR(INDEX('03.Muestra'!$F$8:$F$42,SMALL(IF("Página Web"='03.Muestra'!$D$8:$D$42,ROW('03.Muestra'!$F$8:$F$42)-MIN(ROW('03.Muestra'!$D$8:$D$42))+1,""),ROW()-1880)),"")</f>
        <v>https://www.comunidad.madrid/hospital/clinicosancarlos/ciudadanos</v>
      </c>
      <c r="D1882" s="130" t="s">
        <v>28</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16</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Consultas externas</v>
      </c>
      <c r="C1883" s="114" t="str" cm="1">
        <f t="array" ref="C1883">IFERROR(INDEX('03.Muestra'!$F$8:$F$42,SMALL(IF("Página Web"='03.Muestra'!$D$8:$D$42,ROW('03.Muestra'!$F$8:$F$42)-MIN(ROW('03.Muestra'!$D$8:$D$42))+1,""),ROW()-1880)),"")</f>
        <v>https://www.comunidad.madrid/hospital/clinicosancarlos/ciudadanos/consultas-externas</v>
      </c>
      <c r="D1883" s="130" t="s">
        <v>28</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Donación</v>
      </c>
      <c r="C1884" s="114" t="str" cm="1">
        <f t="array" ref="C1884">IFERROR(INDEX('03.Muestra'!$F$8:$F$42,SMALL(IF("Página Web"='03.Muestra'!$D$8:$D$42,ROW('03.Muestra'!$F$8:$F$42)-MIN(ROW('03.Muestra'!$D$8:$D$42))+1,""),ROW()-1880)),"")</f>
        <v>https://www.comunidad.madrid/hospital/clinicosancarlos/ciudadanos/donacion-0</v>
      </c>
      <c r="D1884" s="130" t="s">
        <v>28</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Profesionales</v>
      </c>
      <c r="C1885" s="114" t="str" cm="1">
        <f t="array" ref="C1885">IFERROR(INDEX('03.Muestra'!$F$8:$F$42,SMALL(IF("Página Web"='03.Muestra'!$D$8:$D$42,ROW('03.Muestra'!$F$8:$F$42)-MIN(ROW('03.Muestra'!$D$8:$D$42))+1,""),ROW()-1880)),"")</f>
        <v>https://www.comunidad.madrid/hospital/clinicosancarlos/profesionales</v>
      </c>
      <c r="D1885" s="130" t="s">
        <v>28</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Docencia</v>
      </c>
      <c r="C1886" s="114" t="str" cm="1">
        <f t="array" ref="C1886">IFERROR(INDEX('03.Muestra'!$F$8:$F$42,SMALL(IF("Página Web"='03.Muestra'!$D$8:$D$42,ROW('03.Muestra'!$F$8:$F$42)-MIN(ROW('03.Muestra'!$D$8:$D$42))+1,""),ROW()-1880)),"")</f>
        <v>https://www.comunidad.madrid/hospital/clinicosancarlos/profesionales/docencia</v>
      </c>
      <c r="D1886" s="130" t="s">
        <v>28</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Referencia</v>
      </c>
      <c r="C1887" s="114" t="str" cm="1">
        <f t="array" ref="C1887">IFERROR(INDEX('03.Muestra'!$F$8:$F$42,SMALL(IF("Página Web"='03.Muestra'!$D$8:$D$42,ROW('03.Muestra'!$F$8:$F$42)-MIN(ROW('03.Muestra'!$D$8:$D$42))+1,""),ROW()-1880)),"")</f>
        <v>https://www.comunidad.madrid/hospital/clinicosancarlos/profesionales/unidades-referencia-nacional-redes-europeas</v>
      </c>
      <c r="D1887" s="130" t="s">
        <v>28</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Comunicación</v>
      </c>
      <c r="C1888" s="114" t="str" cm="1">
        <f t="array" ref="C1888">IFERROR(INDEX('03.Muestra'!$F$8:$F$42,SMALL(IF("Página Web"='03.Muestra'!$D$8:$D$42,ROW('03.Muestra'!$F$8:$F$42)-MIN(ROW('03.Muestra'!$D$8:$D$42))+1,""),ROW()-1880)),"")</f>
        <v>https://www.comunidad.madrid/hospital/clinicosancarlos/comunicacion</v>
      </c>
      <c r="D1888" s="130" t="s">
        <v>28</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Videoteca</v>
      </c>
      <c r="C1889" s="114" t="str" cm="1">
        <f t="array" ref="C1889">IFERROR(INDEX('03.Muestra'!$F$8:$F$42,SMALL(IF("Página Web"='03.Muestra'!$D$8:$D$42,ROW('03.Muestra'!$F$8:$F$42)-MIN(ROW('03.Muestra'!$D$8:$D$42))+1,""),ROW()-1880)),"")</f>
        <v>https://www.comunidad.madrid/hospital/clinicosancarlos/comunicacion/videoteca</v>
      </c>
      <c r="D1889" s="130" t="s">
        <v>28</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Noticias</v>
      </c>
      <c r="C1890" s="114" t="str" cm="1">
        <f t="array" ref="C1890">IFERROR(INDEX('03.Muestra'!$F$8:$F$42,SMALL(IF("Página Web"='03.Muestra'!$D$8:$D$42,ROW('03.Muestra'!$F$8:$F$42)-MIN(ROW('03.Muestra'!$D$8:$D$42))+1,""),ROW()-1880)),"")</f>
        <v>https://www.comunidad.madrid/hospital/clinicosancarlos/comunicacion/noticias</v>
      </c>
      <c r="D1890" s="130" t="s">
        <v>28</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Nosotros</v>
      </c>
      <c r="C1891" s="114" t="str" cm="1">
        <f t="array" ref="C1891">IFERROR(INDEX('03.Muestra'!$F$8:$F$42,SMALL(IF("Página Web"='03.Muestra'!$D$8:$D$42,ROW('03.Muestra'!$F$8:$F$42)-MIN(ROW('03.Muestra'!$D$8:$D$42))+1,""),ROW()-1880)),"")</f>
        <v>https://www.comunidad.madrid/hospital/clinicosancarlos/nosotros</v>
      </c>
      <c r="D1891" s="130" t="s">
        <v>28</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Gestión Ambiental</v>
      </c>
      <c r="C1892" s="114" t="str" cm="1">
        <f t="array" ref="C1892">IFERROR(INDEX('03.Muestra'!$F$8:$F$42,SMALL(IF("Página Web"='03.Muestra'!$D$8:$D$42,ROW('03.Muestra'!$F$8:$F$42)-MIN(ROW('03.Muestra'!$D$8:$D$42))+1,""),ROW()-1880)),"")</f>
        <v>https://www.comunidad.madrid/hospital/clinicosancarlos/nosotros/gestion-ambiental</v>
      </c>
      <c r="D1892" s="130" t="s">
        <v>28</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Proveedores</v>
      </c>
      <c r="C1893" s="114" t="str" cm="1">
        <f t="array" ref="C1893">IFERROR(INDEX('03.Muestra'!$F$8:$F$42,SMALL(IF("Página Web"='03.Muestra'!$D$8:$D$42,ROW('03.Muestra'!$F$8:$F$42)-MIN(ROW('03.Muestra'!$D$8:$D$42))+1,""),ROW()-1880)),"")</f>
        <v>https://www.comunidad.madrid/hospital/clinicosancarlos/nosotros/proveedores-0</v>
      </c>
      <c r="D1893" s="130" t="s">
        <v>28</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Aviso legal</v>
      </c>
      <c r="C1894" s="114" t="str" cm="1">
        <f t="array" ref="C1894">IFERROR(INDEX('03.Muestra'!$F$8:$F$42,SMALL(IF("Página Web"='03.Muestra'!$D$8:$D$42,ROW('03.Muestra'!$F$8:$F$42)-MIN(ROW('03.Muestra'!$D$8:$D$42))+1,""),ROW()-1880)),"")</f>
        <v>https://www.comunidad.madrid/hospital/clinicosancarlos/aviso-legal-privacidad</v>
      </c>
      <c r="D1894" s="130" t="s">
        <v>28</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Mapa web</v>
      </c>
      <c r="C1895" s="114" t="str" cm="1">
        <f t="array" ref="C1895">IFERROR(INDEX('03.Muestra'!$F$8:$F$42,SMALL(IF("Página Web"='03.Muestra'!$D$8:$D$42,ROW('03.Muestra'!$F$8:$F$42)-MIN(ROW('03.Muestra'!$D$8:$D$42))+1,""),ROW()-1880)),"")</f>
        <v>https://www.comunidad.madrid/hospital/clinicosancarlos/sitemap</v>
      </c>
      <c r="D1895" s="130" t="s">
        <v>28</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Accesibilidad</v>
      </c>
      <c r="C1896" s="114" t="str" cm="1">
        <f t="array" ref="C1896">IFERROR(INDEX('03.Muestra'!$F$8:$F$42,SMALL(IF("Página Web"='03.Muestra'!$D$8:$D$42,ROW('03.Muestra'!$F$8:$F$42)-MIN(ROW('03.Muestra'!$D$8:$D$42))+1,""),ROW()-1880)),"")</f>
        <v>https://www.comunidad.madrid/hospital/clinicosancarlos/declaracion-accesibilidad</v>
      </c>
      <c r="D1896" s="130" t="s">
        <v>28</v>
      </c>
      <c r="E1896" s="107" t="str">
        <f t="shared" si="98"/>
        <v/>
      </c>
      <c r="F1896" s="19"/>
      <c r="G1896" s="19"/>
      <c r="H1896" s="19"/>
      <c r="I1896" s="19"/>
      <c r="J1896" s="19"/>
      <c r="K1896" s="233"/>
    </row>
    <row r="1897" spans="1:11" ht="12" customHeight="1">
      <c r="A1897" s="219" t="str" cm="1">
        <f t="array" ref="A1897">IFERROR(INDEX('03.Muestra'!$B$8:$B$42,SMALL(IF("Página Web"='03.Muestra'!$D$8:$D$42,ROW('03.Muestra'!$B$8:$B$42)-MIN(ROW('03.Muestra'!$D$8:$D$42))+1,""),ROW()-1880)),"")</f>
        <v/>
      </c>
      <c r="B1897" s="114" t="str" cm="1">
        <f t="array" ref="B1897">IFERROR(INDEX('03.Muestra'!$C$8:$C$42,SMALL(IF("Página Web"='03.Muestra'!$D$8:$D$42,ROW('03.Muestra'!$C$8:$C$42)-MIN(ROW('03.Muestra'!$D$8:$D$42))+1,""),ROW()-1880)),"")</f>
        <v/>
      </c>
      <c r="C1897" s="114" t="str" cm="1">
        <f t="array" ref="C1897">IFERROR(INDEX('03.Muestra'!$F$8:$F$42,SMALL(IF("Página Web"='03.Muestra'!$D$8:$D$42,ROW('03.Muestra'!$F$8:$F$42)-MIN(ROW('03.Muestra'!$D$8:$D$42))+1,""),ROW()-1880)),"")</f>
        <v/>
      </c>
      <c r="D1897" s="130" t="str">
        <f t="shared" ref="D1897:D1915" si="99">IF(AND(B1897&lt;&gt;"",C1897&lt;&gt;""),"N/T","")</f>
        <v/>
      </c>
      <c r="E1897" s="107" t="str">
        <f t="shared" si="98"/>
        <v/>
      </c>
      <c r="F1897" s="19"/>
      <c r="G1897" s="19"/>
      <c r="H1897" s="19"/>
      <c r="I1897" s="19"/>
      <c r="J1897" s="19"/>
      <c r="K1897" s="233"/>
    </row>
    <row r="1898" spans="1:11" ht="12" customHeight="1">
      <c r="A1898" s="219" t="str" cm="1">
        <f t="array" ref="A1898">IFERROR(INDEX('03.Muestra'!$B$8:$B$42,SMALL(IF("Página Web"='03.Muestra'!$D$8:$D$42,ROW('03.Muestra'!$B$8:$B$42)-MIN(ROW('03.Muestra'!$D$8:$D$42))+1,""),ROW()-1880)),"")</f>
        <v/>
      </c>
      <c r="B1898" s="114" t="str" cm="1">
        <f t="array" ref="B1898">IFERROR(INDEX('03.Muestra'!$C$8:$C$42,SMALL(IF("Página Web"='03.Muestra'!$D$8:$D$42,ROW('03.Muestra'!$C$8:$C$42)-MIN(ROW('03.Muestra'!$D$8:$D$42))+1,""),ROW()-1880)),"")</f>
        <v/>
      </c>
      <c r="C1898" s="114" t="str" cm="1">
        <f t="array" ref="C1898">IFERROR(INDEX('03.Muestra'!$F$8:$F$42,SMALL(IF("Página Web"='03.Muestra'!$D$8:$D$42,ROW('03.Muestra'!$F$8:$F$42)-MIN(ROW('03.Muestra'!$D$8:$D$42))+1,""),ROW()-1880)),"")</f>
        <v/>
      </c>
      <c r="D1898" s="130" t="str">
        <f t="shared" si="99"/>
        <v/>
      </c>
      <c r="E1898" s="107" t="str">
        <f t="shared" si="98"/>
        <v/>
      </c>
      <c r="F1898" s="19"/>
      <c r="G1898" s="19"/>
      <c r="H1898" s="19"/>
      <c r="I1898" s="19"/>
      <c r="J1898" s="19"/>
      <c r="K1898" s="233"/>
    </row>
    <row r="1899" spans="1:11" ht="12" customHeight="1">
      <c r="A1899" s="219" t="str" cm="1">
        <f t="array" ref="A1899">IFERROR(INDEX('03.Muestra'!$B$8:$B$42,SMALL(IF("Página Web"='03.Muestra'!$D$8:$D$42,ROW('03.Muestra'!$B$8:$B$42)-MIN(ROW('03.Muestra'!$D$8:$D$42))+1,""),ROW()-1880)),"")</f>
        <v/>
      </c>
      <c r="B1899" s="114" t="str" cm="1">
        <f t="array" ref="B1899">IFERROR(INDEX('03.Muestra'!$C$8:$C$42,SMALL(IF("Página Web"='03.Muestra'!$D$8:$D$42,ROW('03.Muestra'!$C$8:$C$42)-MIN(ROW('03.Muestra'!$D$8:$D$42))+1,""),ROW()-1880)),"")</f>
        <v/>
      </c>
      <c r="C1899" s="114" t="str" cm="1">
        <f t="array" ref="C1899">IFERROR(INDEX('03.Muestra'!$F$8:$F$42,SMALL(IF("Página Web"='03.Muestra'!$D$8:$D$42,ROW('03.Muestra'!$F$8:$F$42)-MIN(ROW('03.Muestra'!$D$8:$D$42))+1,""),ROW()-1880)),"")</f>
        <v/>
      </c>
      <c r="D1899" s="130" t="str">
        <f t="shared" si="99"/>
        <v/>
      </c>
      <c r="E1899" s="107" t="str">
        <f t="shared" si="98"/>
        <v/>
      </c>
      <c r="F1899" s="19"/>
      <c r="G1899" s="19"/>
      <c r="H1899" s="19"/>
      <c r="I1899" s="19"/>
      <c r="J1899" s="19"/>
      <c r="K1899" s="233"/>
    </row>
    <row r="1900" spans="1:11" ht="12" customHeight="1">
      <c r="A1900" s="219" t="str" cm="1">
        <f t="array" ref="A1900">IFERROR(INDEX('03.Muestra'!$B$8:$B$42,SMALL(IF("Página Web"='03.Muestra'!$D$8:$D$42,ROW('03.Muestra'!$B$8:$B$42)-MIN(ROW('03.Muestra'!$D$8:$D$42))+1,""),ROW()-1880)),"")</f>
        <v/>
      </c>
      <c r="B1900" s="114" t="str" cm="1">
        <f t="array" ref="B1900">IFERROR(INDEX('03.Muestra'!$C$8:$C$42,SMALL(IF("Página Web"='03.Muestra'!$D$8:$D$42,ROW('03.Muestra'!$C$8:$C$42)-MIN(ROW('03.Muestra'!$D$8:$D$42))+1,""),ROW()-1880)),"")</f>
        <v/>
      </c>
      <c r="C1900" s="114" t="str" cm="1">
        <f t="array" ref="C1900">IFERROR(INDEX('03.Muestra'!$F$8:$F$42,SMALL(IF("Página Web"='03.Muestra'!$D$8:$D$42,ROW('03.Muestra'!$F$8:$F$42)-MIN(ROW('03.Muestra'!$D$8:$D$42))+1,""),ROW()-1880)),"")</f>
        <v/>
      </c>
      <c r="D1900" s="130" t="str">
        <f t="shared" si="99"/>
        <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si="99"/>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246" priority="972"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245" priority="966" stopIfTrue="1">
      <formula>ISBLANK(F19)</formula>
    </cfRule>
    <cfRule type="cellIs" dxfId="1244" priority="967" stopIfTrue="1" operator="equal">
      <formula>"Pasa"</formula>
    </cfRule>
    <cfRule type="cellIs" dxfId="1243" priority="968" stopIfTrue="1" operator="equal">
      <formula>"Falla"</formula>
    </cfRule>
    <cfRule type="cellIs" dxfId="1242" priority="969" stopIfTrue="1" operator="equal">
      <formula>"N/A"</formula>
    </cfRule>
    <cfRule type="cellIs" dxfId="1241" priority="970" stopIfTrue="1" operator="equal">
      <formula>"N/T"</formula>
    </cfRule>
    <cfRule type="cellIs" dxfId="1240" priority="971" stopIfTrue="1" operator="equal">
      <formula>"N/D"</formula>
    </cfRule>
  </conditionalFormatting>
  <conditionalFormatting sqref="E741:E775 E779:E813 E817:E851 E855:E889 E893:E927 E931:E965 E1045:E1079 E1083:E1117 E1159:E1193 E1197:E1231 E1235:E1269 E1273:E1307 E1311:E1345 E1349:E1383">
    <cfRule type="cellIs" dxfId="1239" priority="851" stopIfTrue="1" operator="equal">
      <formula>"ERR"</formula>
    </cfRule>
  </conditionalFormatting>
  <conditionalFormatting sqref="E1387:E1421 E1463:E1497 E1501:E1535 E1615:E1649 E1653:E1687 E1691:E1725 E1729:E1763">
    <cfRule type="cellIs" dxfId="1238" priority="760" operator="equal">
      <formula>"ERR"</formula>
    </cfRule>
  </conditionalFormatting>
  <conditionalFormatting sqref="E1767:E1801 E1805:E1839">
    <cfRule type="cellIs" dxfId="1237" priority="711" stopIfTrue="1" operator="equal">
      <formula>"ERR"</formula>
    </cfRule>
  </conditionalFormatting>
  <conditionalFormatting sqref="E969:E1003 E1007:E1042">
    <cfRule type="cellIs" dxfId="1236" priority="692" stopIfTrue="1" operator="equal">
      <formula>"ERR"</formula>
    </cfRule>
  </conditionalFormatting>
  <conditionalFormatting sqref="D1042">
    <cfRule type="expression" dxfId="1235" priority="686" stopIfTrue="1">
      <formula>ISBLANK(D1042)</formula>
    </cfRule>
    <cfRule type="cellIs" dxfId="1234" priority="687" stopIfTrue="1" operator="equal">
      <formula>"Pasa"</formula>
    </cfRule>
    <cfRule type="cellIs" dxfId="1233" priority="688" stopIfTrue="1" operator="equal">
      <formula>"Falla"</formula>
    </cfRule>
    <cfRule type="cellIs" dxfId="1232" priority="689" stopIfTrue="1" operator="equal">
      <formula>"N/A"</formula>
    </cfRule>
    <cfRule type="cellIs" dxfId="1231" priority="690" stopIfTrue="1" operator="equal">
      <formula>"N/T"</formula>
    </cfRule>
    <cfRule type="cellIs" dxfId="1230" priority="691" stopIfTrue="1" operator="equal">
      <formula>"N/D"</formula>
    </cfRule>
  </conditionalFormatting>
  <conditionalFormatting sqref="E1121:E1155">
    <cfRule type="cellIs" dxfId="1229" priority="673" stopIfTrue="1" operator="equal">
      <formula>"ERR"</formula>
    </cfRule>
  </conditionalFormatting>
  <conditionalFormatting sqref="E1425:E1459">
    <cfRule type="cellIs" dxfId="1228" priority="660" operator="equal">
      <formula>"ERR"</formula>
    </cfRule>
  </conditionalFormatting>
  <conditionalFormatting sqref="E1539:E1573 E1577:E1611">
    <cfRule type="cellIs" dxfId="1227" priority="647" operator="equal">
      <formula>"ERR"</formula>
    </cfRule>
  </conditionalFormatting>
  <conditionalFormatting sqref="E1843:E1877">
    <cfRule type="cellIs" dxfId="1226" priority="628" stopIfTrue="1" operator="equal">
      <formula>"ERR"</formula>
    </cfRule>
  </conditionalFormatting>
  <conditionalFormatting sqref="D19:D25 D27:D53">
    <cfRule type="expression" dxfId="1225" priority="610" stopIfTrue="1">
      <formula>ISBLANK(D19)</formula>
    </cfRule>
    <cfRule type="cellIs" dxfId="1224" priority="611" stopIfTrue="1" operator="equal">
      <formula>"Pasa"</formula>
    </cfRule>
    <cfRule type="cellIs" dxfId="1223" priority="612" stopIfTrue="1" operator="equal">
      <formula>"Falla"</formula>
    </cfRule>
    <cfRule type="cellIs" dxfId="1222" priority="613" stopIfTrue="1" operator="equal">
      <formula>"N/A"</formula>
    </cfRule>
    <cfRule type="cellIs" dxfId="1221" priority="614" stopIfTrue="1" operator="equal">
      <formula>"N/T"</formula>
    </cfRule>
    <cfRule type="cellIs" dxfId="1220" priority="615" stopIfTrue="1" operator="equal">
      <formula>"N/D"</formula>
    </cfRule>
  </conditionalFormatting>
  <conditionalFormatting sqref="D19:D25 D27:D53">
    <cfRule type="cellIs" dxfId="1219" priority="609" stopIfTrue="1" operator="equal">
      <formula>"-"</formula>
    </cfRule>
  </conditionalFormatting>
  <conditionalFormatting sqref="D57:D91">
    <cfRule type="expression" dxfId="1218" priority="603" stopIfTrue="1">
      <formula>ISBLANK(D57)</formula>
    </cfRule>
    <cfRule type="cellIs" dxfId="1217" priority="604" stopIfTrue="1" operator="equal">
      <formula>"Pasa"</formula>
    </cfRule>
    <cfRule type="cellIs" dxfId="1216" priority="605" stopIfTrue="1" operator="equal">
      <formula>"Falla"</formula>
    </cfRule>
    <cfRule type="cellIs" dxfId="1215" priority="606" stopIfTrue="1" operator="equal">
      <formula>"N/A"</formula>
    </cfRule>
    <cfRule type="cellIs" dxfId="1214" priority="607" stopIfTrue="1" operator="equal">
      <formula>"N/T"</formula>
    </cfRule>
    <cfRule type="cellIs" dxfId="1213" priority="608" stopIfTrue="1" operator="equal">
      <formula>"N/D"</formula>
    </cfRule>
  </conditionalFormatting>
  <conditionalFormatting sqref="D57:D91">
    <cfRule type="cellIs" dxfId="1212" priority="602" stopIfTrue="1" operator="equal">
      <formula>"-"</formula>
    </cfRule>
  </conditionalFormatting>
  <conditionalFormatting sqref="D111:D129">
    <cfRule type="expression" dxfId="1211" priority="596" stopIfTrue="1">
      <formula>ISBLANK(D111)</formula>
    </cfRule>
    <cfRule type="cellIs" dxfId="1210" priority="597" stopIfTrue="1" operator="equal">
      <formula>"Pasa"</formula>
    </cfRule>
    <cfRule type="cellIs" dxfId="1209" priority="598" stopIfTrue="1" operator="equal">
      <formula>"Falla"</formula>
    </cfRule>
    <cfRule type="cellIs" dxfId="1208" priority="599" stopIfTrue="1" operator="equal">
      <formula>"N/A"</formula>
    </cfRule>
    <cfRule type="cellIs" dxfId="1207" priority="600" stopIfTrue="1" operator="equal">
      <formula>"N/T"</formula>
    </cfRule>
    <cfRule type="cellIs" dxfId="1206" priority="601" stopIfTrue="1" operator="equal">
      <formula>"N/D"</formula>
    </cfRule>
  </conditionalFormatting>
  <conditionalFormatting sqref="D111:D129">
    <cfRule type="cellIs" dxfId="1205" priority="595" stopIfTrue="1" operator="equal">
      <formula>"-"</formula>
    </cfRule>
  </conditionalFormatting>
  <conditionalFormatting sqref="D133:D167">
    <cfRule type="expression" dxfId="1204" priority="589" stopIfTrue="1">
      <formula>ISBLANK(D133)</formula>
    </cfRule>
    <cfRule type="cellIs" dxfId="1203" priority="590" stopIfTrue="1" operator="equal">
      <formula>"Pasa"</formula>
    </cfRule>
    <cfRule type="cellIs" dxfId="1202" priority="591" stopIfTrue="1" operator="equal">
      <formula>"Falla"</formula>
    </cfRule>
    <cfRule type="cellIs" dxfId="1201" priority="592" stopIfTrue="1" operator="equal">
      <formula>"N/A"</formula>
    </cfRule>
    <cfRule type="cellIs" dxfId="1200" priority="593" stopIfTrue="1" operator="equal">
      <formula>"N/T"</formula>
    </cfRule>
    <cfRule type="cellIs" dxfId="1199" priority="594" stopIfTrue="1" operator="equal">
      <formula>"N/D"</formula>
    </cfRule>
  </conditionalFormatting>
  <conditionalFormatting sqref="D133:D167">
    <cfRule type="cellIs" dxfId="1198" priority="588" stopIfTrue="1" operator="equal">
      <formula>"-"</formula>
    </cfRule>
  </conditionalFormatting>
  <conditionalFormatting sqref="D187:D205">
    <cfRule type="expression" dxfId="1197" priority="575" stopIfTrue="1">
      <formula>ISBLANK(D187)</formula>
    </cfRule>
    <cfRule type="cellIs" dxfId="1196" priority="576" stopIfTrue="1" operator="equal">
      <formula>"Pasa"</formula>
    </cfRule>
    <cfRule type="cellIs" dxfId="1195" priority="577" stopIfTrue="1" operator="equal">
      <formula>"Falla"</formula>
    </cfRule>
    <cfRule type="cellIs" dxfId="1194" priority="578" stopIfTrue="1" operator="equal">
      <formula>"N/A"</formula>
    </cfRule>
    <cfRule type="cellIs" dxfId="1193" priority="579" stopIfTrue="1" operator="equal">
      <formula>"N/T"</formula>
    </cfRule>
    <cfRule type="cellIs" dxfId="1192" priority="580" stopIfTrue="1" operator="equal">
      <formula>"N/D"</formula>
    </cfRule>
  </conditionalFormatting>
  <conditionalFormatting sqref="D187:D205">
    <cfRule type="cellIs" dxfId="1191" priority="574" stopIfTrue="1" operator="equal">
      <formula>"-"</formula>
    </cfRule>
  </conditionalFormatting>
  <conditionalFormatting sqref="D209:D214 D216 D225:D243">
    <cfRule type="expression" dxfId="1190" priority="568" stopIfTrue="1">
      <formula>ISBLANK(D209)</formula>
    </cfRule>
    <cfRule type="cellIs" dxfId="1189" priority="569" stopIfTrue="1" operator="equal">
      <formula>"Pasa"</formula>
    </cfRule>
    <cfRule type="cellIs" dxfId="1188" priority="570" stopIfTrue="1" operator="equal">
      <formula>"Falla"</formula>
    </cfRule>
    <cfRule type="cellIs" dxfId="1187" priority="571" stopIfTrue="1" operator="equal">
      <formula>"N/A"</formula>
    </cfRule>
    <cfRule type="cellIs" dxfId="1186" priority="572" stopIfTrue="1" operator="equal">
      <formula>"N/T"</formula>
    </cfRule>
    <cfRule type="cellIs" dxfId="1185" priority="573" stopIfTrue="1" operator="equal">
      <formula>"N/D"</formula>
    </cfRule>
  </conditionalFormatting>
  <conditionalFormatting sqref="D209:D214 D216 D225:D243">
    <cfRule type="cellIs" dxfId="1184" priority="567" stopIfTrue="1" operator="equal">
      <formula>"-"</formula>
    </cfRule>
  </conditionalFormatting>
  <conditionalFormatting sqref="D247:D281">
    <cfRule type="expression" dxfId="1183" priority="561" stopIfTrue="1">
      <formula>ISBLANK(D247)</formula>
    </cfRule>
    <cfRule type="cellIs" dxfId="1182" priority="562" stopIfTrue="1" operator="equal">
      <formula>"Pasa"</formula>
    </cfRule>
    <cfRule type="cellIs" dxfId="1181" priority="563" stopIfTrue="1" operator="equal">
      <formula>"Falla"</formula>
    </cfRule>
    <cfRule type="cellIs" dxfId="1180" priority="564" stopIfTrue="1" operator="equal">
      <formula>"N/A"</formula>
    </cfRule>
    <cfRule type="cellIs" dxfId="1179" priority="565" stopIfTrue="1" operator="equal">
      <formula>"N/T"</formula>
    </cfRule>
    <cfRule type="cellIs" dxfId="1178" priority="566" stopIfTrue="1" operator="equal">
      <formula>"N/D"</formula>
    </cfRule>
  </conditionalFormatting>
  <conditionalFormatting sqref="D247:D281">
    <cfRule type="cellIs" dxfId="1177" priority="560" stopIfTrue="1" operator="equal">
      <formula>"-"</formula>
    </cfRule>
  </conditionalFormatting>
  <conditionalFormatting sqref="D285:D319">
    <cfRule type="expression" dxfId="1176" priority="554" stopIfTrue="1">
      <formula>ISBLANK(D285)</formula>
    </cfRule>
    <cfRule type="cellIs" dxfId="1175" priority="555" stopIfTrue="1" operator="equal">
      <formula>"Pasa"</formula>
    </cfRule>
    <cfRule type="cellIs" dxfId="1174" priority="556" stopIfTrue="1" operator="equal">
      <formula>"Falla"</formula>
    </cfRule>
    <cfRule type="cellIs" dxfId="1173" priority="557" stopIfTrue="1" operator="equal">
      <formula>"N/A"</formula>
    </cfRule>
    <cfRule type="cellIs" dxfId="1172" priority="558" stopIfTrue="1" operator="equal">
      <formula>"N/T"</formula>
    </cfRule>
    <cfRule type="cellIs" dxfId="1171" priority="559" stopIfTrue="1" operator="equal">
      <formula>"N/D"</formula>
    </cfRule>
  </conditionalFormatting>
  <conditionalFormatting sqref="D285:D319">
    <cfRule type="cellIs" dxfId="1170" priority="553" stopIfTrue="1" operator="equal">
      <formula>"-"</formula>
    </cfRule>
  </conditionalFormatting>
  <conditionalFormatting sqref="D339:D357">
    <cfRule type="expression" dxfId="1169" priority="547" stopIfTrue="1">
      <formula>ISBLANK(D339)</formula>
    </cfRule>
    <cfRule type="cellIs" dxfId="1168" priority="548" stopIfTrue="1" operator="equal">
      <formula>"Pasa"</formula>
    </cfRule>
    <cfRule type="cellIs" dxfId="1167" priority="549" stopIfTrue="1" operator="equal">
      <formula>"Falla"</formula>
    </cfRule>
    <cfRule type="cellIs" dxfId="1166" priority="550" stopIfTrue="1" operator="equal">
      <formula>"N/A"</formula>
    </cfRule>
    <cfRule type="cellIs" dxfId="1165" priority="551" stopIfTrue="1" operator="equal">
      <formula>"N/T"</formula>
    </cfRule>
    <cfRule type="cellIs" dxfId="1164" priority="552" stopIfTrue="1" operator="equal">
      <formula>"N/D"</formula>
    </cfRule>
  </conditionalFormatting>
  <conditionalFormatting sqref="D339:D357">
    <cfRule type="cellIs" dxfId="1163" priority="546" stopIfTrue="1" operator="equal">
      <formula>"-"</formula>
    </cfRule>
  </conditionalFormatting>
  <conditionalFormatting sqref="D377:D395">
    <cfRule type="expression" dxfId="1162" priority="540" stopIfTrue="1">
      <formula>ISBLANK(D377)</formula>
    </cfRule>
    <cfRule type="cellIs" dxfId="1161" priority="541" stopIfTrue="1" operator="equal">
      <formula>"Pasa"</formula>
    </cfRule>
    <cfRule type="cellIs" dxfId="1160" priority="542" stopIfTrue="1" operator="equal">
      <formula>"Falla"</formula>
    </cfRule>
    <cfRule type="cellIs" dxfId="1159" priority="543" stopIfTrue="1" operator="equal">
      <formula>"N/A"</formula>
    </cfRule>
    <cfRule type="cellIs" dxfId="1158" priority="544" stopIfTrue="1" operator="equal">
      <formula>"N/T"</formula>
    </cfRule>
    <cfRule type="cellIs" dxfId="1157" priority="545" stopIfTrue="1" operator="equal">
      <formula>"N/D"</formula>
    </cfRule>
  </conditionalFormatting>
  <conditionalFormatting sqref="D377:D395">
    <cfRule type="cellIs" dxfId="1156" priority="539" stopIfTrue="1" operator="equal">
      <formula>"-"</formula>
    </cfRule>
  </conditionalFormatting>
  <conditionalFormatting sqref="D399:D433">
    <cfRule type="expression" dxfId="1155" priority="533" stopIfTrue="1">
      <formula>ISBLANK(D399)</formula>
    </cfRule>
    <cfRule type="cellIs" dxfId="1154" priority="534" stopIfTrue="1" operator="equal">
      <formula>"Pasa"</formula>
    </cfRule>
    <cfRule type="cellIs" dxfId="1153" priority="535" stopIfTrue="1" operator="equal">
      <formula>"Falla"</formula>
    </cfRule>
    <cfRule type="cellIs" dxfId="1152" priority="536" stopIfTrue="1" operator="equal">
      <formula>"N/A"</formula>
    </cfRule>
    <cfRule type="cellIs" dxfId="1151" priority="537" stopIfTrue="1" operator="equal">
      <formula>"N/T"</formula>
    </cfRule>
    <cfRule type="cellIs" dxfId="1150" priority="538" stopIfTrue="1" operator="equal">
      <formula>"N/D"</formula>
    </cfRule>
  </conditionalFormatting>
  <conditionalFormatting sqref="D399:D433">
    <cfRule type="cellIs" dxfId="1149" priority="532" stopIfTrue="1" operator="equal">
      <formula>"-"</formula>
    </cfRule>
  </conditionalFormatting>
  <conditionalFormatting sqref="D437:D471">
    <cfRule type="expression" dxfId="1148" priority="526" stopIfTrue="1">
      <formula>ISBLANK(D437)</formula>
    </cfRule>
    <cfRule type="cellIs" dxfId="1147" priority="527" stopIfTrue="1" operator="equal">
      <formula>"Pasa"</formula>
    </cfRule>
    <cfRule type="cellIs" dxfId="1146" priority="528" stopIfTrue="1" operator="equal">
      <formula>"Falla"</formula>
    </cfRule>
    <cfRule type="cellIs" dxfId="1145" priority="529" stopIfTrue="1" operator="equal">
      <formula>"N/A"</formula>
    </cfRule>
    <cfRule type="cellIs" dxfId="1144" priority="530" stopIfTrue="1" operator="equal">
      <formula>"N/T"</formula>
    </cfRule>
    <cfRule type="cellIs" dxfId="1143" priority="531" stopIfTrue="1" operator="equal">
      <formula>"N/D"</formula>
    </cfRule>
  </conditionalFormatting>
  <conditionalFormatting sqref="D437:D471">
    <cfRule type="cellIs" dxfId="1142" priority="525" stopIfTrue="1" operator="equal">
      <formula>"-"</formula>
    </cfRule>
  </conditionalFormatting>
  <conditionalFormatting sqref="D475:D509">
    <cfRule type="expression" dxfId="1141" priority="519" stopIfTrue="1">
      <formula>ISBLANK(D475)</formula>
    </cfRule>
    <cfRule type="cellIs" dxfId="1140" priority="520" stopIfTrue="1" operator="equal">
      <formula>"Pasa"</formula>
    </cfRule>
    <cfRule type="cellIs" dxfId="1139" priority="521" stopIfTrue="1" operator="equal">
      <formula>"Falla"</formula>
    </cfRule>
    <cfRule type="cellIs" dxfId="1138" priority="522" stopIfTrue="1" operator="equal">
      <formula>"N/A"</formula>
    </cfRule>
    <cfRule type="cellIs" dxfId="1137" priority="523" stopIfTrue="1" operator="equal">
      <formula>"N/T"</formula>
    </cfRule>
    <cfRule type="cellIs" dxfId="1136" priority="524" stopIfTrue="1" operator="equal">
      <formula>"N/D"</formula>
    </cfRule>
  </conditionalFormatting>
  <conditionalFormatting sqref="D475:D509">
    <cfRule type="cellIs" dxfId="1135" priority="518" stopIfTrue="1" operator="equal">
      <formula>"-"</formula>
    </cfRule>
  </conditionalFormatting>
  <conditionalFormatting sqref="D513:D547">
    <cfRule type="expression" dxfId="1134" priority="512" stopIfTrue="1">
      <formula>ISBLANK(D513)</formula>
    </cfRule>
    <cfRule type="cellIs" dxfId="1133" priority="513" stopIfTrue="1" operator="equal">
      <formula>"Pasa"</formula>
    </cfRule>
    <cfRule type="cellIs" dxfId="1132" priority="514" stopIfTrue="1" operator="equal">
      <formula>"Falla"</formula>
    </cfRule>
    <cfRule type="cellIs" dxfId="1131" priority="515" stopIfTrue="1" operator="equal">
      <formula>"N/A"</formula>
    </cfRule>
    <cfRule type="cellIs" dxfId="1130" priority="516" stopIfTrue="1" operator="equal">
      <formula>"N/T"</formula>
    </cfRule>
    <cfRule type="cellIs" dxfId="1129" priority="517" stopIfTrue="1" operator="equal">
      <formula>"N/D"</formula>
    </cfRule>
  </conditionalFormatting>
  <conditionalFormatting sqref="D513:D547">
    <cfRule type="cellIs" dxfId="1128" priority="511" stopIfTrue="1" operator="equal">
      <formula>"-"</formula>
    </cfRule>
  </conditionalFormatting>
  <conditionalFormatting sqref="D551:D585">
    <cfRule type="expression" dxfId="1127" priority="505" stopIfTrue="1">
      <formula>ISBLANK(D551)</formula>
    </cfRule>
    <cfRule type="cellIs" dxfId="1126" priority="506" stopIfTrue="1" operator="equal">
      <formula>"Pasa"</formula>
    </cfRule>
    <cfRule type="cellIs" dxfId="1125" priority="507" stopIfTrue="1" operator="equal">
      <formula>"Falla"</formula>
    </cfRule>
    <cfRule type="cellIs" dxfId="1124" priority="508" stopIfTrue="1" operator="equal">
      <formula>"N/A"</formula>
    </cfRule>
    <cfRule type="cellIs" dxfId="1123" priority="509" stopIfTrue="1" operator="equal">
      <formula>"N/T"</formula>
    </cfRule>
    <cfRule type="cellIs" dxfId="1122" priority="510" stopIfTrue="1" operator="equal">
      <formula>"N/D"</formula>
    </cfRule>
  </conditionalFormatting>
  <conditionalFormatting sqref="D551:D585">
    <cfRule type="cellIs" dxfId="1121" priority="504" stopIfTrue="1" operator="equal">
      <formula>"-"</formula>
    </cfRule>
  </conditionalFormatting>
  <conditionalFormatting sqref="D589:D623">
    <cfRule type="expression" dxfId="1120" priority="498" stopIfTrue="1">
      <formula>ISBLANK(D589)</formula>
    </cfRule>
    <cfRule type="cellIs" dxfId="1119" priority="499" stopIfTrue="1" operator="equal">
      <formula>"Pasa"</formula>
    </cfRule>
    <cfRule type="cellIs" dxfId="1118" priority="500" stopIfTrue="1" operator="equal">
      <formula>"Falla"</formula>
    </cfRule>
    <cfRule type="cellIs" dxfId="1117" priority="501" stopIfTrue="1" operator="equal">
      <formula>"N/A"</formula>
    </cfRule>
    <cfRule type="cellIs" dxfId="1116" priority="502" stopIfTrue="1" operator="equal">
      <formula>"N/T"</formula>
    </cfRule>
    <cfRule type="cellIs" dxfId="1115" priority="503" stopIfTrue="1" operator="equal">
      <formula>"N/D"</formula>
    </cfRule>
  </conditionalFormatting>
  <conditionalFormatting sqref="D589:D623">
    <cfRule type="cellIs" dxfId="1114" priority="497" stopIfTrue="1" operator="equal">
      <formula>"-"</formula>
    </cfRule>
  </conditionalFormatting>
  <conditionalFormatting sqref="D643:D661">
    <cfRule type="expression" dxfId="1113" priority="491" stopIfTrue="1">
      <formula>ISBLANK(D643)</formula>
    </cfRule>
    <cfRule type="cellIs" dxfId="1112" priority="492" stopIfTrue="1" operator="equal">
      <formula>"Pasa"</formula>
    </cfRule>
    <cfRule type="cellIs" dxfId="1111" priority="493" stopIfTrue="1" operator="equal">
      <formula>"Falla"</formula>
    </cfRule>
    <cfRule type="cellIs" dxfId="1110" priority="494" stopIfTrue="1" operator="equal">
      <formula>"N/A"</formula>
    </cfRule>
    <cfRule type="cellIs" dxfId="1109" priority="495" stopIfTrue="1" operator="equal">
      <formula>"N/T"</formula>
    </cfRule>
    <cfRule type="cellIs" dxfId="1108" priority="496" stopIfTrue="1" operator="equal">
      <formula>"N/D"</formula>
    </cfRule>
  </conditionalFormatting>
  <conditionalFormatting sqref="D643:D661">
    <cfRule type="cellIs" dxfId="1107" priority="490" stopIfTrue="1" operator="equal">
      <formula>"-"</formula>
    </cfRule>
  </conditionalFormatting>
  <conditionalFormatting sqref="D665:D699">
    <cfRule type="expression" dxfId="1106" priority="484" stopIfTrue="1">
      <formula>ISBLANK(D665)</formula>
    </cfRule>
    <cfRule type="cellIs" dxfId="1105" priority="485" stopIfTrue="1" operator="equal">
      <formula>"Pasa"</formula>
    </cfRule>
    <cfRule type="cellIs" dxfId="1104" priority="486" stopIfTrue="1" operator="equal">
      <formula>"Falla"</formula>
    </cfRule>
    <cfRule type="cellIs" dxfId="1103" priority="487" stopIfTrue="1" operator="equal">
      <formula>"N/A"</formula>
    </cfRule>
    <cfRule type="cellIs" dxfId="1102" priority="488" stopIfTrue="1" operator="equal">
      <formula>"N/T"</formula>
    </cfRule>
    <cfRule type="cellIs" dxfId="1101" priority="489" stopIfTrue="1" operator="equal">
      <formula>"N/D"</formula>
    </cfRule>
  </conditionalFormatting>
  <conditionalFormatting sqref="D665:D699">
    <cfRule type="cellIs" dxfId="1100" priority="483" stopIfTrue="1" operator="equal">
      <formula>"-"</formula>
    </cfRule>
  </conditionalFormatting>
  <conditionalFormatting sqref="D719:D737">
    <cfRule type="expression" dxfId="1099" priority="477" stopIfTrue="1">
      <formula>ISBLANK(D719)</formula>
    </cfRule>
    <cfRule type="cellIs" dxfId="1098" priority="478" stopIfTrue="1" operator="equal">
      <formula>"Pasa"</formula>
    </cfRule>
    <cfRule type="cellIs" dxfId="1097" priority="479" stopIfTrue="1" operator="equal">
      <formula>"Falla"</formula>
    </cfRule>
    <cfRule type="cellIs" dxfId="1096" priority="480" stopIfTrue="1" operator="equal">
      <formula>"N/A"</formula>
    </cfRule>
    <cfRule type="cellIs" dxfId="1095" priority="481" stopIfTrue="1" operator="equal">
      <formula>"N/T"</formula>
    </cfRule>
    <cfRule type="cellIs" dxfId="1094" priority="482" stopIfTrue="1" operator="equal">
      <formula>"N/D"</formula>
    </cfRule>
  </conditionalFormatting>
  <conditionalFormatting sqref="D719:D737">
    <cfRule type="cellIs" dxfId="1093" priority="476" stopIfTrue="1" operator="equal">
      <formula>"-"</formula>
    </cfRule>
  </conditionalFormatting>
  <conditionalFormatting sqref="D757:D775">
    <cfRule type="expression" dxfId="1092" priority="470" stopIfTrue="1">
      <formula>ISBLANK(D757)</formula>
    </cfRule>
    <cfRule type="cellIs" dxfId="1091" priority="471" stopIfTrue="1" operator="equal">
      <formula>"Pasa"</formula>
    </cfRule>
    <cfRule type="cellIs" dxfId="1090" priority="472" stopIfTrue="1" operator="equal">
      <formula>"Falla"</formula>
    </cfRule>
    <cfRule type="cellIs" dxfId="1089" priority="473" stopIfTrue="1" operator="equal">
      <formula>"N/A"</formula>
    </cfRule>
    <cfRule type="cellIs" dxfId="1088" priority="474" stopIfTrue="1" operator="equal">
      <formula>"N/T"</formula>
    </cfRule>
    <cfRule type="cellIs" dxfId="1087" priority="475" stopIfTrue="1" operator="equal">
      <formula>"N/D"</formula>
    </cfRule>
  </conditionalFormatting>
  <conditionalFormatting sqref="D757:D775">
    <cfRule type="cellIs" dxfId="1086" priority="469" stopIfTrue="1" operator="equal">
      <formula>"-"</formula>
    </cfRule>
  </conditionalFormatting>
  <conditionalFormatting sqref="D795:D813">
    <cfRule type="expression" dxfId="1085" priority="463" stopIfTrue="1">
      <formula>ISBLANK(D795)</formula>
    </cfRule>
    <cfRule type="cellIs" dxfId="1084" priority="464" stopIfTrue="1" operator="equal">
      <formula>"Pasa"</formula>
    </cfRule>
    <cfRule type="cellIs" dxfId="1083" priority="465" stopIfTrue="1" operator="equal">
      <formula>"Falla"</formula>
    </cfRule>
    <cfRule type="cellIs" dxfId="1082" priority="466" stopIfTrue="1" operator="equal">
      <formula>"N/A"</formula>
    </cfRule>
    <cfRule type="cellIs" dxfId="1081" priority="467" stopIfTrue="1" operator="equal">
      <formula>"N/T"</formula>
    </cfRule>
    <cfRule type="cellIs" dxfId="1080" priority="468" stopIfTrue="1" operator="equal">
      <formula>"N/D"</formula>
    </cfRule>
  </conditionalFormatting>
  <conditionalFormatting sqref="D795:D813">
    <cfRule type="cellIs" dxfId="1079" priority="462" stopIfTrue="1" operator="equal">
      <formula>"-"</formula>
    </cfRule>
  </conditionalFormatting>
  <conditionalFormatting sqref="D833:D851">
    <cfRule type="expression" dxfId="1078" priority="456" stopIfTrue="1">
      <formula>ISBLANK(D833)</formula>
    </cfRule>
    <cfRule type="cellIs" dxfId="1077" priority="457" stopIfTrue="1" operator="equal">
      <formula>"Pasa"</formula>
    </cfRule>
    <cfRule type="cellIs" dxfId="1076" priority="458" stopIfTrue="1" operator="equal">
      <formula>"Falla"</formula>
    </cfRule>
    <cfRule type="cellIs" dxfId="1075" priority="459" stopIfTrue="1" operator="equal">
      <formula>"N/A"</formula>
    </cfRule>
    <cfRule type="cellIs" dxfId="1074" priority="460" stopIfTrue="1" operator="equal">
      <formula>"N/T"</formula>
    </cfRule>
    <cfRule type="cellIs" dxfId="1073" priority="461" stopIfTrue="1" operator="equal">
      <formula>"N/D"</formula>
    </cfRule>
  </conditionalFormatting>
  <conditionalFormatting sqref="D833:D851">
    <cfRule type="cellIs" dxfId="1072" priority="455" stopIfTrue="1" operator="equal">
      <formula>"-"</formula>
    </cfRule>
  </conditionalFormatting>
  <conditionalFormatting sqref="D871:D889">
    <cfRule type="expression" dxfId="1071" priority="449" stopIfTrue="1">
      <formula>ISBLANK(D871)</formula>
    </cfRule>
    <cfRule type="cellIs" dxfId="1070" priority="450" stopIfTrue="1" operator="equal">
      <formula>"Pasa"</formula>
    </cfRule>
    <cfRule type="cellIs" dxfId="1069" priority="451" stopIfTrue="1" operator="equal">
      <formula>"Falla"</formula>
    </cfRule>
    <cfRule type="cellIs" dxfId="1068" priority="452" stopIfTrue="1" operator="equal">
      <formula>"N/A"</formula>
    </cfRule>
    <cfRule type="cellIs" dxfId="1067" priority="453" stopIfTrue="1" operator="equal">
      <formula>"N/T"</formula>
    </cfRule>
    <cfRule type="cellIs" dxfId="1066" priority="454" stopIfTrue="1" operator="equal">
      <formula>"N/D"</formula>
    </cfRule>
  </conditionalFormatting>
  <conditionalFormatting sqref="D871:D889">
    <cfRule type="cellIs" dxfId="1065" priority="448" stopIfTrue="1" operator="equal">
      <formula>"-"</formula>
    </cfRule>
  </conditionalFormatting>
  <conditionalFormatting sqref="D909:D927">
    <cfRule type="expression" dxfId="1064" priority="442" stopIfTrue="1">
      <formula>ISBLANK(D909)</formula>
    </cfRule>
    <cfRule type="cellIs" dxfId="1063" priority="443" stopIfTrue="1" operator="equal">
      <formula>"Pasa"</formula>
    </cfRule>
    <cfRule type="cellIs" dxfId="1062" priority="444" stopIfTrue="1" operator="equal">
      <formula>"Falla"</formula>
    </cfRule>
    <cfRule type="cellIs" dxfId="1061" priority="445" stopIfTrue="1" operator="equal">
      <formula>"N/A"</formula>
    </cfRule>
    <cfRule type="cellIs" dxfId="1060" priority="446" stopIfTrue="1" operator="equal">
      <formula>"N/T"</formula>
    </cfRule>
    <cfRule type="cellIs" dxfId="1059" priority="447" stopIfTrue="1" operator="equal">
      <formula>"N/D"</formula>
    </cfRule>
  </conditionalFormatting>
  <conditionalFormatting sqref="D909:D927">
    <cfRule type="cellIs" dxfId="1058" priority="441" stopIfTrue="1" operator="equal">
      <formula>"-"</formula>
    </cfRule>
  </conditionalFormatting>
  <conditionalFormatting sqref="D931:D965">
    <cfRule type="expression" dxfId="1057" priority="435" stopIfTrue="1">
      <formula>ISBLANK(D931)</formula>
    </cfRule>
    <cfRule type="cellIs" dxfId="1056" priority="436" stopIfTrue="1" operator="equal">
      <formula>"Pasa"</formula>
    </cfRule>
    <cfRule type="cellIs" dxfId="1055" priority="437" stopIfTrue="1" operator="equal">
      <formula>"Falla"</formula>
    </cfRule>
    <cfRule type="cellIs" dxfId="1054" priority="438" stopIfTrue="1" operator="equal">
      <formula>"N/A"</formula>
    </cfRule>
    <cfRule type="cellIs" dxfId="1053" priority="439" stopIfTrue="1" operator="equal">
      <formula>"N/T"</formula>
    </cfRule>
    <cfRule type="cellIs" dxfId="1052" priority="440" stopIfTrue="1" operator="equal">
      <formula>"N/D"</formula>
    </cfRule>
  </conditionalFormatting>
  <conditionalFormatting sqref="D931:D965">
    <cfRule type="cellIs" dxfId="1051" priority="434" stopIfTrue="1" operator="equal">
      <formula>"-"</formula>
    </cfRule>
  </conditionalFormatting>
  <conditionalFormatting sqref="D985:D1003">
    <cfRule type="expression" dxfId="1050" priority="428" stopIfTrue="1">
      <formula>ISBLANK(D985)</formula>
    </cfRule>
    <cfRule type="cellIs" dxfId="1049" priority="429" stopIfTrue="1" operator="equal">
      <formula>"Pasa"</formula>
    </cfRule>
    <cfRule type="cellIs" dxfId="1048" priority="430" stopIfTrue="1" operator="equal">
      <formula>"Falla"</formula>
    </cfRule>
    <cfRule type="cellIs" dxfId="1047" priority="431" stopIfTrue="1" operator="equal">
      <formula>"N/A"</formula>
    </cfRule>
    <cfRule type="cellIs" dxfId="1046" priority="432" stopIfTrue="1" operator="equal">
      <formula>"N/T"</formula>
    </cfRule>
    <cfRule type="cellIs" dxfId="1045" priority="433" stopIfTrue="1" operator="equal">
      <formula>"N/D"</formula>
    </cfRule>
  </conditionalFormatting>
  <conditionalFormatting sqref="D985:D1003">
    <cfRule type="cellIs" dxfId="1044" priority="427" stopIfTrue="1" operator="equal">
      <formula>"-"</formula>
    </cfRule>
  </conditionalFormatting>
  <conditionalFormatting sqref="D1007:D1041">
    <cfRule type="expression" dxfId="1043" priority="421" stopIfTrue="1">
      <formula>ISBLANK(D1007)</formula>
    </cfRule>
    <cfRule type="cellIs" dxfId="1042" priority="422" stopIfTrue="1" operator="equal">
      <formula>"Pasa"</formula>
    </cfRule>
    <cfRule type="cellIs" dxfId="1041" priority="423" stopIfTrue="1" operator="equal">
      <formula>"Falla"</formula>
    </cfRule>
    <cfRule type="cellIs" dxfId="1040" priority="424" stopIfTrue="1" operator="equal">
      <formula>"N/A"</formula>
    </cfRule>
    <cfRule type="cellIs" dxfId="1039" priority="425" stopIfTrue="1" operator="equal">
      <formula>"N/T"</formula>
    </cfRule>
    <cfRule type="cellIs" dxfId="1038" priority="426" stopIfTrue="1" operator="equal">
      <formula>"N/D"</formula>
    </cfRule>
  </conditionalFormatting>
  <conditionalFormatting sqref="D1007:D1041">
    <cfRule type="cellIs" dxfId="1037" priority="420" stopIfTrue="1" operator="equal">
      <formula>"-"</formula>
    </cfRule>
  </conditionalFormatting>
  <conditionalFormatting sqref="D1061:D1079">
    <cfRule type="expression" dxfId="1036" priority="414" stopIfTrue="1">
      <formula>ISBLANK(D1061)</formula>
    </cfRule>
    <cfRule type="cellIs" dxfId="1035" priority="415" stopIfTrue="1" operator="equal">
      <formula>"Pasa"</formula>
    </cfRule>
    <cfRule type="cellIs" dxfId="1034" priority="416" stopIfTrue="1" operator="equal">
      <formula>"Falla"</formula>
    </cfRule>
    <cfRule type="cellIs" dxfId="1033" priority="417" stopIfTrue="1" operator="equal">
      <formula>"N/A"</formula>
    </cfRule>
    <cfRule type="cellIs" dxfId="1032" priority="418" stopIfTrue="1" operator="equal">
      <formula>"N/T"</formula>
    </cfRule>
    <cfRule type="cellIs" dxfId="1031" priority="419" stopIfTrue="1" operator="equal">
      <formula>"N/D"</formula>
    </cfRule>
  </conditionalFormatting>
  <conditionalFormatting sqref="D1061:D1079">
    <cfRule type="cellIs" dxfId="1030" priority="413" stopIfTrue="1" operator="equal">
      <formula>"-"</formula>
    </cfRule>
  </conditionalFormatting>
  <conditionalFormatting sqref="D1083:D1117">
    <cfRule type="expression" dxfId="1029" priority="407" stopIfTrue="1">
      <formula>ISBLANK(D1083)</formula>
    </cfRule>
    <cfRule type="cellIs" dxfId="1028" priority="408" stopIfTrue="1" operator="equal">
      <formula>"Pasa"</formula>
    </cfRule>
    <cfRule type="cellIs" dxfId="1027" priority="409" stopIfTrue="1" operator="equal">
      <formula>"Falla"</formula>
    </cfRule>
    <cfRule type="cellIs" dxfId="1026" priority="410" stopIfTrue="1" operator="equal">
      <formula>"N/A"</formula>
    </cfRule>
    <cfRule type="cellIs" dxfId="1025" priority="411" stopIfTrue="1" operator="equal">
      <formula>"N/T"</formula>
    </cfRule>
    <cfRule type="cellIs" dxfId="1024" priority="412" stopIfTrue="1" operator="equal">
      <formula>"N/D"</formula>
    </cfRule>
  </conditionalFormatting>
  <conditionalFormatting sqref="D1083:D1117">
    <cfRule type="cellIs" dxfId="1023" priority="406" stopIfTrue="1" operator="equal">
      <formula>"-"</formula>
    </cfRule>
  </conditionalFormatting>
  <conditionalFormatting sqref="D1121:D1155">
    <cfRule type="expression" dxfId="1022" priority="400" stopIfTrue="1">
      <formula>ISBLANK(D1121)</formula>
    </cfRule>
    <cfRule type="cellIs" dxfId="1021" priority="401" stopIfTrue="1" operator="equal">
      <formula>"Pasa"</formula>
    </cfRule>
    <cfRule type="cellIs" dxfId="1020" priority="402" stopIfTrue="1" operator="equal">
      <formula>"Falla"</formula>
    </cfRule>
    <cfRule type="cellIs" dxfId="1019" priority="403" stopIfTrue="1" operator="equal">
      <formula>"N/A"</formula>
    </cfRule>
    <cfRule type="cellIs" dxfId="1018" priority="404" stopIfTrue="1" operator="equal">
      <formula>"N/T"</formula>
    </cfRule>
    <cfRule type="cellIs" dxfId="1017" priority="405" stopIfTrue="1" operator="equal">
      <formula>"N/D"</formula>
    </cfRule>
  </conditionalFormatting>
  <conditionalFormatting sqref="D1121:D1155">
    <cfRule type="cellIs" dxfId="1016" priority="399" stopIfTrue="1" operator="equal">
      <formula>"-"</formula>
    </cfRule>
  </conditionalFormatting>
  <conditionalFormatting sqref="D1159:D1193">
    <cfRule type="expression" dxfId="1015" priority="393" stopIfTrue="1">
      <formula>ISBLANK(D1159)</formula>
    </cfRule>
    <cfRule type="cellIs" dxfId="1014" priority="394" stopIfTrue="1" operator="equal">
      <formula>"Pasa"</formula>
    </cfRule>
    <cfRule type="cellIs" dxfId="1013" priority="395" stopIfTrue="1" operator="equal">
      <formula>"Falla"</formula>
    </cfRule>
    <cfRule type="cellIs" dxfId="1012" priority="396" stopIfTrue="1" operator="equal">
      <formula>"N/A"</formula>
    </cfRule>
    <cfRule type="cellIs" dxfId="1011" priority="397" stopIfTrue="1" operator="equal">
      <formula>"N/T"</formula>
    </cfRule>
    <cfRule type="cellIs" dxfId="1010" priority="398" stopIfTrue="1" operator="equal">
      <formula>"N/D"</formula>
    </cfRule>
  </conditionalFormatting>
  <conditionalFormatting sqref="D1159:D1193">
    <cfRule type="cellIs" dxfId="1009" priority="392" stopIfTrue="1" operator="equal">
      <formula>"-"</formula>
    </cfRule>
  </conditionalFormatting>
  <conditionalFormatting sqref="D1213:D1231">
    <cfRule type="expression" dxfId="1008" priority="386" stopIfTrue="1">
      <formula>ISBLANK(D1213)</formula>
    </cfRule>
    <cfRule type="cellIs" dxfId="1007" priority="387" stopIfTrue="1" operator="equal">
      <formula>"Pasa"</formula>
    </cfRule>
    <cfRule type="cellIs" dxfId="1006" priority="388" stopIfTrue="1" operator="equal">
      <formula>"Falla"</formula>
    </cfRule>
    <cfRule type="cellIs" dxfId="1005" priority="389" stopIfTrue="1" operator="equal">
      <formula>"N/A"</formula>
    </cfRule>
    <cfRule type="cellIs" dxfId="1004" priority="390" stopIfTrue="1" operator="equal">
      <formula>"N/T"</formula>
    </cfRule>
    <cfRule type="cellIs" dxfId="1003" priority="391" stopIfTrue="1" operator="equal">
      <formula>"N/D"</formula>
    </cfRule>
  </conditionalFormatting>
  <conditionalFormatting sqref="D1213:D1231">
    <cfRule type="cellIs" dxfId="1002" priority="385" stopIfTrue="1" operator="equal">
      <formula>"-"</formula>
    </cfRule>
  </conditionalFormatting>
  <conditionalFormatting sqref="D1251:D1269">
    <cfRule type="expression" dxfId="1001" priority="379" stopIfTrue="1">
      <formula>ISBLANK(D1251)</formula>
    </cfRule>
    <cfRule type="cellIs" dxfId="1000" priority="380" stopIfTrue="1" operator="equal">
      <formula>"Pasa"</formula>
    </cfRule>
    <cfRule type="cellIs" dxfId="999" priority="381" stopIfTrue="1" operator="equal">
      <formula>"Falla"</formula>
    </cfRule>
    <cfRule type="cellIs" dxfId="998" priority="382" stopIfTrue="1" operator="equal">
      <formula>"N/A"</formula>
    </cfRule>
    <cfRule type="cellIs" dxfId="997" priority="383" stopIfTrue="1" operator="equal">
      <formula>"N/T"</formula>
    </cfRule>
    <cfRule type="cellIs" dxfId="996" priority="384" stopIfTrue="1" operator="equal">
      <formula>"N/D"</formula>
    </cfRule>
  </conditionalFormatting>
  <conditionalFormatting sqref="D1251:D1269">
    <cfRule type="cellIs" dxfId="995" priority="378" stopIfTrue="1" operator="equal">
      <formula>"-"</formula>
    </cfRule>
  </conditionalFormatting>
  <conditionalFormatting sqref="D1273:D1307">
    <cfRule type="expression" dxfId="994" priority="372" stopIfTrue="1">
      <formula>ISBLANK(D1273)</formula>
    </cfRule>
    <cfRule type="cellIs" dxfId="993" priority="373" stopIfTrue="1" operator="equal">
      <formula>"Pasa"</formula>
    </cfRule>
    <cfRule type="cellIs" dxfId="992" priority="374" stopIfTrue="1" operator="equal">
      <formula>"Falla"</formula>
    </cfRule>
    <cfRule type="cellIs" dxfId="991" priority="375" stopIfTrue="1" operator="equal">
      <formula>"N/A"</formula>
    </cfRule>
    <cfRule type="cellIs" dxfId="990" priority="376" stopIfTrue="1" operator="equal">
      <formula>"N/T"</formula>
    </cfRule>
    <cfRule type="cellIs" dxfId="989" priority="377" stopIfTrue="1" operator="equal">
      <formula>"N/D"</formula>
    </cfRule>
  </conditionalFormatting>
  <conditionalFormatting sqref="D1273:D1307">
    <cfRule type="cellIs" dxfId="988" priority="371" stopIfTrue="1" operator="equal">
      <formula>"-"</formula>
    </cfRule>
  </conditionalFormatting>
  <conditionalFormatting sqref="D1311:D1345">
    <cfRule type="expression" dxfId="987" priority="365" stopIfTrue="1">
      <formula>ISBLANK(D1311)</formula>
    </cfRule>
    <cfRule type="cellIs" dxfId="986" priority="366" stopIfTrue="1" operator="equal">
      <formula>"Pasa"</formula>
    </cfRule>
    <cfRule type="cellIs" dxfId="985" priority="367" stopIfTrue="1" operator="equal">
      <formula>"Falla"</formula>
    </cfRule>
    <cfRule type="cellIs" dxfId="984" priority="368" stopIfTrue="1" operator="equal">
      <formula>"N/A"</formula>
    </cfRule>
    <cfRule type="cellIs" dxfId="983" priority="369" stopIfTrue="1" operator="equal">
      <formula>"N/T"</formula>
    </cfRule>
    <cfRule type="cellIs" dxfId="982" priority="370" stopIfTrue="1" operator="equal">
      <formula>"N/D"</formula>
    </cfRule>
  </conditionalFormatting>
  <conditionalFormatting sqref="D1311:D1345">
    <cfRule type="cellIs" dxfId="981" priority="364" stopIfTrue="1" operator="equal">
      <formula>"-"</formula>
    </cfRule>
  </conditionalFormatting>
  <conditionalFormatting sqref="D1349:D1383">
    <cfRule type="expression" dxfId="980" priority="358" stopIfTrue="1">
      <formula>ISBLANK(D1349)</formula>
    </cfRule>
    <cfRule type="cellIs" dxfId="979" priority="359" stopIfTrue="1" operator="equal">
      <formula>"Pasa"</formula>
    </cfRule>
    <cfRule type="cellIs" dxfId="978" priority="360" stopIfTrue="1" operator="equal">
      <formula>"Falla"</formula>
    </cfRule>
    <cfRule type="cellIs" dxfId="977" priority="361" stopIfTrue="1" operator="equal">
      <formula>"N/A"</formula>
    </cfRule>
    <cfRule type="cellIs" dxfId="976" priority="362" stopIfTrue="1" operator="equal">
      <formula>"N/T"</formula>
    </cfRule>
    <cfRule type="cellIs" dxfId="975" priority="363" stopIfTrue="1" operator="equal">
      <formula>"N/D"</formula>
    </cfRule>
  </conditionalFormatting>
  <conditionalFormatting sqref="D1349:D1383">
    <cfRule type="cellIs" dxfId="974" priority="357" stopIfTrue="1" operator="equal">
      <formula>"-"</formula>
    </cfRule>
  </conditionalFormatting>
  <conditionalFormatting sqref="D1387:D1421">
    <cfRule type="expression" dxfId="973" priority="351" stopIfTrue="1">
      <formula>ISBLANK(D1387)</formula>
    </cfRule>
    <cfRule type="cellIs" dxfId="972" priority="352" stopIfTrue="1" operator="equal">
      <formula>"Pasa"</formula>
    </cfRule>
    <cfRule type="cellIs" dxfId="971" priority="353" stopIfTrue="1" operator="equal">
      <formula>"Falla"</formula>
    </cfRule>
    <cfRule type="cellIs" dxfId="970" priority="354" stopIfTrue="1" operator="equal">
      <formula>"N/A"</formula>
    </cfRule>
    <cfRule type="cellIs" dxfId="969" priority="355" stopIfTrue="1" operator="equal">
      <formula>"N/T"</formula>
    </cfRule>
    <cfRule type="cellIs" dxfId="968" priority="356" stopIfTrue="1" operator="equal">
      <formula>"N/D"</formula>
    </cfRule>
  </conditionalFormatting>
  <conditionalFormatting sqref="D1387:D1421">
    <cfRule type="cellIs" dxfId="967" priority="350" stopIfTrue="1" operator="equal">
      <formula>"-"</formula>
    </cfRule>
  </conditionalFormatting>
  <conditionalFormatting sqref="D1425:D1459">
    <cfRule type="expression" dxfId="966" priority="344" stopIfTrue="1">
      <formula>ISBLANK(D1425)</formula>
    </cfRule>
    <cfRule type="cellIs" dxfId="965" priority="345" stopIfTrue="1" operator="equal">
      <formula>"Pasa"</formula>
    </cfRule>
    <cfRule type="cellIs" dxfId="964" priority="346" stopIfTrue="1" operator="equal">
      <formula>"Falla"</formula>
    </cfRule>
    <cfRule type="cellIs" dxfId="963" priority="347" stopIfTrue="1" operator="equal">
      <formula>"N/A"</formula>
    </cfRule>
    <cfRule type="cellIs" dxfId="962" priority="348" stopIfTrue="1" operator="equal">
      <formula>"N/T"</formula>
    </cfRule>
    <cfRule type="cellIs" dxfId="961" priority="349" stopIfTrue="1" operator="equal">
      <formula>"N/D"</formula>
    </cfRule>
  </conditionalFormatting>
  <conditionalFormatting sqref="D1425:D1459">
    <cfRule type="cellIs" dxfId="960" priority="343" stopIfTrue="1" operator="equal">
      <formula>"-"</formula>
    </cfRule>
  </conditionalFormatting>
  <conditionalFormatting sqref="D1463:D1497">
    <cfRule type="expression" dxfId="959" priority="337" stopIfTrue="1">
      <formula>ISBLANK(D1463)</formula>
    </cfRule>
    <cfRule type="cellIs" dxfId="958" priority="338" stopIfTrue="1" operator="equal">
      <formula>"Pasa"</formula>
    </cfRule>
    <cfRule type="cellIs" dxfId="957" priority="339" stopIfTrue="1" operator="equal">
      <formula>"Falla"</formula>
    </cfRule>
    <cfRule type="cellIs" dxfId="956" priority="340" stopIfTrue="1" operator="equal">
      <formula>"N/A"</formula>
    </cfRule>
    <cfRule type="cellIs" dxfId="955" priority="341" stopIfTrue="1" operator="equal">
      <formula>"N/T"</formula>
    </cfRule>
    <cfRule type="cellIs" dxfId="954" priority="342" stopIfTrue="1" operator="equal">
      <formula>"N/D"</formula>
    </cfRule>
  </conditionalFormatting>
  <conditionalFormatting sqref="D1463:D1497">
    <cfRule type="cellIs" dxfId="953" priority="336" stopIfTrue="1" operator="equal">
      <formula>"-"</formula>
    </cfRule>
  </conditionalFormatting>
  <conditionalFormatting sqref="D1517:D1535">
    <cfRule type="expression" dxfId="952" priority="330" stopIfTrue="1">
      <formula>ISBLANK(D1517)</formula>
    </cfRule>
    <cfRule type="cellIs" dxfId="951" priority="331" stopIfTrue="1" operator="equal">
      <formula>"Pasa"</formula>
    </cfRule>
    <cfRule type="cellIs" dxfId="950" priority="332" stopIfTrue="1" operator="equal">
      <formula>"Falla"</formula>
    </cfRule>
    <cfRule type="cellIs" dxfId="949" priority="333" stopIfTrue="1" operator="equal">
      <formula>"N/A"</formula>
    </cfRule>
    <cfRule type="cellIs" dxfId="948" priority="334" stopIfTrue="1" operator="equal">
      <formula>"N/T"</formula>
    </cfRule>
    <cfRule type="cellIs" dxfId="947" priority="335" stopIfTrue="1" operator="equal">
      <formula>"N/D"</formula>
    </cfRule>
  </conditionalFormatting>
  <conditionalFormatting sqref="D1517:D1535">
    <cfRule type="cellIs" dxfId="946" priority="329" stopIfTrue="1" operator="equal">
      <formula>"-"</formula>
    </cfRule>
  </conditionalFormatting>
  <conditionalFormatting sqref="D1539:D1573">
    <cfRule type="expression" dxfId="945" priority="323" stopIfTrue="1">
      <formula>ISBLANK(D1539)</formula>
    </cfRule>
    <cfRule type="cellIs" dxfId="944" priority="324" stopIfTrue="1" operator="equal">
      <formula>"Pasa"</formula>
    </cfRule>
    <cfRule type="cellIs" dxfId="943" priority="325" stopIfTrue="1" operator="equal">
      <formula>"Falla"</formula>
    </cfRule>
    <cfRule type="cellIs" dxfId="942" priority="326" stopIfTrue="1" operator="equal">
      <formula>"N/A"</formula>
    </cfRule>
    <cfRule type="cellIs" dxfId="941" priority="327" stopIfTrue="1" operator="equal">
      <formula>"N/T"</formula>
    </cfRule>
    <cfRule type="cellIs" dxfId="940" priority="328" stopIfTrue="1" operator="equal">
      <formula>"N/D"</formula>
    </cfRule>
  </conditionalFormatting>
  <conditionalFormatting sqref="D1539:D1573">
    <cfRule type="cellIs" dxfId="939" priority="322" stopIfTrue="1" operator="equal">
      <formula>"-"</formula>
    </cfRule>
  </conditionalFormatting>
  <conditionalFormatting sqref="D1593:D1611">
    <cfRule type="expression" dxfId="938" priority="316" stopIfTrue="1">
      <formula>ISBLANK(D1593)</formula>
    </cfRule>
    <cfRule type="cellIs" dxfId="937" priority="317" stopIfTrue="1" operator="equal">
      <formula>"Pasa"</formula>
    </cfRule>
    <cfRule type="cellIs" dxfId="936" priority="318" stopIfTrue="1" operator="equal">
      <formula>"Falla"</formula>
    </cfRule>
    <cfRule type="cellIs" dxfId="935" priority="319" stopIfTrue="1" operator="equal">
      <formula>"N/A"</formula>
    </cfRule>
    <cfRule type="cellIs" dxfId="934" priority="320" stopIfTrue="1" operator="equal">
      <formula>"N/T"</formula>
    </cfRule>
    <cfRule type="cellIs" dxfId="933" priority="321" stopIfTrue="1" operator="equal">
      <formula>"N/D"</formula>
    </cfRule>
  </conditionalFormatting>
  <conditionalFormatting sqref="D1593:D1611">
    <cfRule type="cellIs" dxfId="932" priority="315" stopIfTrue="1" operator="equal">
      <formula>"-"</formula>
    </cfRule>
  </conditionalFormatting>
  <conditionalFormatting sqref="D1631:D1649">
    <cfRule type="expression" dxfId="931" priority="309" stopIfTrue="1">
      <formula>ISBLANK(D1631)</formula>
    </cfRule>
    <cfRule type="cellIs" dxfId="930" priority="310" stopIfTrue="1" operator="equal">
      <formula>"Pasa"</formula>
    </cfRule>
    <cfRule type="cellIs" dxfId="929" priority="311" stopIfTrue="1" operator="equal">
      <formula>"Falla"</formula>
    </cfRule>
    <cfRule type="cellIs" dxfId="928" priority="312" stopIfTrue="1" operator="equal">
      <formula>"N/A"</formula>
    </cfRule>
    <cfRule type="cellIs" dxfId="927" priority="313" stopIfTrue="1" operator="equal">
      <formula>"N/T"</formula>
    </cfRule>
    <cfRule type="cellIs" dxfId="926" priority="314" stopIfTrue="1" operator="equal">
      <formula>"N/D"</formula>
    </cfRule>
  </conditionalFormatting>
  <conditionalFormatting sqref="D1631:D1649">
    <cfRule type="cellIs" dxfId="925" priority="308" stopIfTrue="1" operator="equal">
      <formula>"-"</formula>
    </cfRule>
  </conditionalFormatting>
  <conditionalFormatting sqref="D1669:D1687">
    <cfRule type="expression" dxfId="924" priority="302" stopIfTrue="1">
      <formula>ISBLANK(D1669)</formula>
    </cfRule>
    <cfRule type="cellIs" dxfId="923" priority="303" stopIfTrue="1" operator="equal">
      <formula>"Pasa"</formula>
    </cfRule>
    <cfRule type="cellIs" dxfId="922" priority="304" stopIfTrue="1" operator="equal">
      <formula>"Falla"</formula>
    </cfRule>
    <cfRule type="cellIs" dxfId="921" priority="305" stopIfTrue="1" operator="equal">
      <formula>"N/A"</formula>
    </cfRule>
    <cfRule type="cellIs" dxfId="920" priority="306" stopIfTrue="1" operator="equal">
      <formula>"N/T"</formula>
    </cfRule>
    <cfRule type="cellIs" dxfId="919" priority="307" stopIfTrue="1" operator="equal">
      <formula>"N/D"</formula>
    </cfRule>
  </conditionalFormatting>
  <conditionalFormatting sqref="D1669:D1687">
    <cfRule type="cellIs" dxfId="918" priority="301" stopIfTrue="1" operator="equal">
      <formula>"-"</formula>
    </cfRule>
  </conditionalFormatting>
  <conditionalFormatting sqref="D1691:D1725">
    <cfRule type="expression" dxfId="917" priority="295" stopIfTrue="1">
      <formula>ISBLANK(D1691)</formula>
    </cfRule>
    <cfRule type="cellIs" dxfId="916" priority="296" stopIfTrue="1" operator="equal">
      <formula>"Pasa"</formula>
    </cfRule>
    <cfRule type="cellIs" dxfId="915" priority="297" stopIfTrue="1" operator="equal">
      <formula>"Falla"</formula>
    </cfRule>
    <cfRule type="cellIs" dxfId="914" priority="298" stopIfTrue="1" operator="equal">
      <formula>"N/A"</formula>
    </cfRule>
    <cfRule type="cellIs" dxfId="913" priority="299" stopIfTrue="1" operator="equal">
      <formula>"N/T"</formula>
    </cfRule>
    <cfRule type="cellIs" dxfId="912" priority="300" stopIfTrue="1" operator="equal">
      <formula>"N/D"</formula>
    </cfRule>
  </conditionalFormatting>
  <conditionalFormatting sqref="D1691:D1725">
    <cfRule type="cellIs" dxfId="911" priority="294" stopIfTrue="1" operator="equal">
      <formula>"-"</formula>
    </cfRule>
  </conditionalFormatting>
  <conditionalFormatting sqref="D1745:D1763">
    <cfRule type="expression" dxfId="910" priority="288" stopIfTrue="1">
      <formula>ISBLANK(D1745)</formula>
    </cfRule>
    <cfRule type="cellIs" dxfId="909" priority="289" stopIfTrue="1" operator="equal">
      <formula>"Pasa"</formula>
    </cfRule>
    <cfRule type="cellIs" dxfId="908" priority="290" stopIfTrue="1" operator="equal">
      <formula>"Falla"</formula>
    </cfRule>
    <cfRule type="cellIs" dxfId="907" priority="291" stopIfTrue="1" operator="equal">
      <formula>"N/A"</formula>
    </cfRule>
    <cfRule type="cellIs" dxfId="906" priority="292" stopIfTrue="1" operator="equal">
      <formula>"N/T"</formula>
    </cfRule>
    <cfRule type="cellIs" dxfId="905" priority="293" stopIfTrue="1" operator="equal">
      <formula>"N/D"</formula>
    </cfRule>
  </conditionalFormatting>
  <conditionalFormatting sqref="D1745:D1763">
    <cfRule type="cellIs" dxfId="904" priority="287" stopIfTrue="1" operator="equal">
      <formula>"-"</formula>
    </cfRule>
  </conditionalFormatting>
  <conditionalFormatting sqref="D1767:D1801">
    <cfRule type="expression" dxfId="903" priority="281" stopIfTrue="1">
      <formula>ISBLANK(D1767)</formula>
    </cfRule>
    <cfRule type="cellIs" dxfId="902" priority="282" stopIfTrue="1" operator="equal">
      <formula>"Pasa"</formula>
    </cfRule>
    <cfRule type="cellIs" dxfId="901" priority="283" stopIfTrue="1" operator="equal">
      <formula>"Falla"</formula>
    </cfRule>
    <cfRule type="cellIs" dxfId="900" priority="284" stopIfTrue="1" operator="equal">
      <formula>"N/A"</formula>
    </cfRule>
    <cfRule type="cellIs" dxfId="899" priority="285" stopIfTrue="1" operator="equal">
      <formula>"N/T"</formula>
    </cfRule>
    <cfRule type="cellIs" dxfId="898" priority="286" stopIfTrue="1" operator="equal">
      <formula>"N/D"</formula>
    </cfRule>
  </conditionalFormatting>
  <conditionalFormatting sqref="D1767:D1801">
    <cfRule type="cellIs" dxfId="897" priority="280" stopIfTrue="1" operator="equal">
      <formula>"-"</formula>
    </cfRule>
  </conditionalFormatting>
  <conditionalFormatting sqref="D1821:D1839">
    <cfRule type="expression" dxfId="896" priority="274" stopIfTrue="1">
      <formula>ISBLANK(D1821)</formula>
    </cfRule>
    <cfRule type="cellIs" dxfId="895" priority="275" stopIfTrue="1" operator="equal">
      <formula>"Pasa"</formula>
    </cfRule>
    <cfRule type="cellIs" dxfId="894" priority="276" stopIfTrue="1" operator="equal">
      <formula>"Falla"</formula>
    </cfRule>
    <cfRule type="cellIs" dxfId="893" priority="277" stopIfTrue="1" operator="equal">
      <formula>"N/A"</formula>
    </cfRule>
    <cfRule type="cellIs" dxfId="892" priority="278" stopIfTrue="1" operator="equal">
      <formula>"N/T"</formula>
    </cfRule>
    <cfRule type="cellIs" dxfId="891" priority="279" stopIfTrue="1" operator="equal">
      <formula>"N/D"</formula>
    </cfRule>
  </conditionalFormatting>
  <conditionalFormatting sqref="D1821:D1839">
    <cfRule type="cellIs" dxfId="890" priority="273" stopIfTrue="1" operator="equal">
      <formula>"-"</formula>
    </cfRule>
  </conditionalFormatting>
  <conditionalFormatting sqref="D1843:D1877">
    <cfRule type="expression" dxfId="889" priority="267" stopIfTrue="1">
      <formula>ISBLANK(D1843)</formula>
    </cfRule>
    <cfRule type="cellIs" dxfId="888" priority="268" stopIfTrue="1" operator="equal">
      <formula>"Pasa"</formula>
    </cfRule>
    <cfRule type="cellIs" dxfId="887" priority="269" stopIfTrue="1" operator="equal">
      <formula>"Falla"</formula>
    </cfRule>
    <cfRule type="cellIs" dxfId="886" priority="270" stopIfTrue="1" operator="equal">
      <formula>"N/A"</formula>
    </cfRule>
    <cfRule type="cellIs" dxfId="885" priority="271" stopIfTrue="1" operator="equal">
      <formula>"N/T"</formula>
    </cfRule>
    <cfRule type="cellIs" dxfId="884" priority="272" stopIfTrue="1" operator="equal">
      <formula>"N/D"</formula>
    </cfRule>
  </conditionalFormatting>
  <conditionalFormatting sqref="D1843:D1877">
    <cfRule type="cellIs" dxfId="883" priority="266" stopIfTrue="1" operator="equal">
      <formula>"-"</formula>
    </cfRule>
  </conditionalFormatting>
  <conditionalFormatting sqref="K23">
    <cfRule type="expression" dxfId="882" priority="260" stopIfTrue="1">
      <formula>ISBLANK(K23)</formula>
    </cfRule>
    <cfRule type="cellIs" dxfId="881" priority="261" stopIfTrue="1" operator="equal">
      <formula>"Pasa"</formula>
    </cfRule>
    <cfRule type="cellIs" dxfId="880" priority="262" stopIfTrue="1" operator="equal">
      <formula>"Falla"</formula>
    </cfRule>
    <cfRule type="cellIs" dxfId="879" priority="263" stopIfTrue="1" operator="equal">
      <formula>"N/A"</formula>
    </cfRule>
    <cfRule type="cellIs" dxfId="878" priority="264" stopIfTrue="1" operator="equal">
      <formula>"N/T"</formula>
    </cfRule>
    <cfRule type="cellIs" dxfId="877" priority="265" stopIfTrue="1" operator="equal">
      <formula>"N/D"</formula>
    </cfRule>
  </conditionalFormatting>
  <conditionalFormatting sqref="K24">
    <cfRule type="expression" dxfId="876" priority="254" stopIfTrue="1">
      <formula>ISBLANK(K24)</formula>
    </cfRule>
    <cfRule type="cellIs" dxfId="875" priority="255" stopIfTrue="1" operator="equal">
      <formula>"Pasa"</formula>
    </cfRule>
    <cfRule type="cellIs" dxfId="874" priority="256" stopIfTrue="1" operator="equal">
      <formula>"Falla"</formula>
    </cfRule>
    <cfRule type="cellIs" dxfId="873" priority="257" stopIfTrue="1" operator="equal">
      <formula>"N/A"</formula>
    </cfRule>
    <cfRule type="cellIs" dxfId="872" priority="258" stopIfTrue="1" operator="equal">
      <formula>"N/T"</formula>
    </cfRule>
    <cfRule type="cellIs" dxfId="871" priority="259" stopIfTrue="1" operator="equal">
      <formula>"N/D"</formula>
    </cfRule>
  </conditionalFormatting>
  <conditionalFormatting sqref="E1881:E1915">
    <cfRule type="cellIs" dxfId="870" priority="247" stopIfTrue="1" operator="equal">
      <formula>"ERR"</formula>
    </cfRule>
  </conditionalFormatting>
  <conditionalFormatting sqref="D1881:D1915">
    <cfRule type="expression" dxfId="869" priority="241" stopIfTrue="1">
      <formula>ISBLANK(D1881)</formula>
    </cfRule>
    <cfRule type="cellIs" dxfId="868" priority="242" stopIfTrue="1" operator="equal">
      <formula>"Pasa"</formula>
    </cfRule>
    <cfRule type="cellIs" dxfId="867" priority="243" stopIfTrue="1" operator="equal">
      <formula>"Falla"</formula>
    </cfRule>
    <cfRule type="cellIs" dxfId="866" priority="244" stopIfTrue="1" operator="equal">
      <formula>"N/A"</formula>
    </cfRule>
    <cfRule type="cellIs" dxfId="865" priority="245" stopIfTrue="1" operator="equal">
      <formula>"N/T"</formula>
    </cfRule>
    <cfRule type="cellIs" dxfId="864" priority="246" stopIfTrue="1" operator="equal">
      <formula>"N/D"</formula>
    </cfRule>
  </conditionalFormatting>
  <conditionalFormatting sqref="D1881:D1915">
    <cfRule type="cellIs" dxfId="863" priority="240" stopIfTrue="1" operator="equal">
      <formula>"-"</formula>
    </cfRule>
  </conditionalFormatting>
  <conditionalFormatting sqref="D215">
    <cfRule type="expression" dxfId="862" priority="234" stopIfTrue="1">
      <formula>ISBLANK(D215)</formula>
    </cfRule>
    <cfRule type="cellIs" dxfId="861" priority="235" stopIfTrue="1" operator="equal">
      <formula>"Pasa"</formula>
    </cfRule>
    <cfRule type="cellIs" dxfId="860" priority="236" stopIfTrue="1" operator="equal">
      <formula>"Falla"</formula>
    </cfRule>
    <cfRule type="cellIs" dxfId="859" priority="237" stopIfTrue="1" operator="equal">
      <formula>"N/A"</formula>
    </cfRule>
    <cfRule type="cellIs" dxfId="858" priority="238" stopIfTrue="1" operator="equal">
      <formula>"N/T"</formula>
    </cfRule>
    <cfRule type="cellIs" dxfId="857" priority="239" stopIfTrue="1" operator="equal">
      <formula>"N/D"</formula>
    </cfRule>
  </conditionalFormatting>
  <conditionalFormatting sqref="D215">
    <cfRule type="cellIs" dxfId="856" priority="233" stopIfTrue="1" operator="equal">
      <formula>"-"</formula>
    </cfRule>
  </conditionalFormatting>
  <conditionalFormatting sqref="D26">
    <cfRule type="expression" dxfId="855" priority="227" stopIfTrue="1">
      <formula>ISBLANK(D26)</formula>
    </cfRule>
    <cfRule type="cellIs" dxfId="854" priority="228" stopIfTrue="1" operator="equal">
      <formula>"Pasa"</formula>
    </cfRule>
    <cfRule type="cellIs" dxfId="853" priority="229" stopIfTrue="1" operator="equal">
      <formula>"Falla"</formula>
    </cfRule>
    <cfRule type="cellIs" dxfId="852" priority="230" stopIfTrue="1" operator="equal">
      <formula>"N/A"</formula>
    </cfRule>
    <cfRule type="cellIs" dxfId="851" priority="231" stopIfTrue="1" operator="equal">
      <formula>"N/T"</formula>
    </cfRule>
    <cfRule type="cellIs" dxfId="850" priority="232" stopIfTrue="1" operator="equal">
      <formula>"N/D"</formula>
    </cfRule>
  </conditionalFormatting>
  <conditionalFormatting sqref="D26">
    <cfRule type="cellIs" dxfId="849" priority="226" stopIfTrue="1" operator="equal">
      <formula>"-"</formula>
    </cfRule>
  </conditionalFormatting>
  <conditionalFormatting sqref="D217">
    <cfRule type="expression" dxfId="848" priority="220" stopIfTrue="1">
      <formula>ISBLANK(D217)</formula>
    </cfRule>
    <cfRule type="cellIs" dxfId="847" priority="221" stopIfTrue="1" operator="equal">
      <formula>"Pasa"</formula>
    </cfRule>
    <cfRule type="cellIs" dxfId="846" priority="222" stopIfTrue="1" operator="equal">
      <formula>"Falla"</formula>
    </cfRule>
    <cfRule type="cellIs" dxfId="845" priority="223" stopIfTrue="1" operator="equal">
      <formula>"N/A"</formula>
    </cfRule>
    <cfRule type="cellIs" dxfId="844" priority="224" stopIfTrue="1" operator="equal">
      <formula>"N/T"</formula>
    </cfRule>
    <cfRule type="cellIs" dxfId="843" priority="225" stopIfTrue="1" operator="equal">
      <formula>"N/D"</formula>
    </cfRule>
  </conditionalFormatting>
  <conditionalFormatting sqref="D217">
    <cfRule type="cellIs" dxfId="842" priority="219" stopIfTrue="1" operator="equal">
      <formula>"-"</formula>
    </cfRule>
  </conditionalFormatting>
  <conditionalFormatting sqref="D218">
    <cfRule type="expression" dxfId="841" priority="213" stopIfTrue="1">
      <formula>ISBLANK(D218)</formula>
    </cfRule>
    <cfRule type="cellIs" dxfId="840" priority="214" stopIfTrue="1" operator="equal">
      <formula>"Pasa"</formula>
    </cfRule>
    <cfRule type="cellIs" dxfId="839" priority="215" stopIfTrue="1" operator="equal">
      <formula>"Falla"</formula>
    </cfRule>
    <cfRule type="cellIs" dxfId="838" priority="216" stopIfTrue="1" operator="equal">
      <formula>"N/A"</formula>
    </cfRule>
    <cfRule type="cellIs" dxfId="837" priority="217" stopIfTrue="1" operator="equal">
      <formula>"N/T"</formula>
    </cfRule>
    <cfRule type="cellIs" dxfId="836" priority="218" stopIfTrue="1" operator="equal">
      <formula>"N/D"</formula>
    </cfRule>
  </conditionalFormatting>
  <conditionalFormatting sqref="D218">
    <cfRule type="cellIs" dxfId="835" priority="212" stopIfTrue="1" operator="equal">
      <formula>"-"</formula>
    </cfRule>
  </conditionalFormatting>
  <conditionalFormatting sqref="D219">
    <cfRule type="expression" dxfId="834" priority="206" stopIfTrue="1">
      <formula>ISBLANK(D219)</formula>
    </cfRule>
    <cfRule type="cellIs" dxfId="833" priority="207" stopIfTrue="1" operator="equal">
      <formula>"Pasa"</formula>
    </cfRule>
    <cfRule type="cellIs" dxfId="832" priority="208" stopIfTrue="1" operator="equal">
      <formula>"Falla"</formula>
    </cfRule>
    <cfRule type="cellIs" dxfId="831" priority="209" stopIfTrue="1" operator="equal">
      <formula>"N/A"</formula>
    </cfRule>
    <cfRule type="cellIs" dxfId="830" priority="210" stopIfTrue="1" operator="equal">
      <formula>"N/T"</formula>
    </cfRule>
    <cfRule type="cellIs" dxfId="829" priority="211" stopIfTrue="1" operator="equal">
      <formula>"N/D"</formula>
    </cfRule>
  </conditionalFormatting>
  <conditionalFormatting sqref="D219">
    <cfRule type="cellIs" dxfId="828" priority="205" stopIfTrue="1" operator="equal">
      <formula>"-"</formula>
    </cfRule>
  </conditionalFormatting>
  <conditionalFormatting sqref="D220">
    <cfRule type="expression" dxfId="827" priority="199" stopIfTrue="1">
      <formula>ISBLANK(D220)</formula>
    </cfRule>
    <cfRule type="cellIs" dxfId="826" priority="200" stopIfTrue="1" operator="equal">
      <formula>"Pasa"</formula>
    </cfRule>
    <cfRule type="cellIs" dxfId="825" priority="201" stopIfTrue="1" operator="equal">
      <formula>"Falla"</formula>
    </cfRule>
    <cfRule type="cellIs" dxfId="824" priority="202" stopIfTrue="1" operator="equal">
      <formula>"N/A"</formula>
    </cfRule>
    <cfRule type="cellIs" dxfId="823" priority="203" stopIfTrue="1" operator="equal">
      <formula>"N/T"</formula>
    </cfRule>
    <cfRule type="cellIs" dxfId="822" priority="204" stopIfTrue="1" operator="equal">
      <formula>"N/D"</formula>
    </cfRule>
  </conditionalFormatting>
  <conditionalFormatting sqref="D220">
    <cfRule type="cellIs" dxfId="821" priority="198" stopIfTrue="1" operator="equal">
      <formula>"-"</formula>
    </cfRule>
  </conditionalFormatting>
  <conditionalFormatting sqref="D221">
    <cfRule type="expression" dxfId="820" priority="192" stopIfTrue="1">
      <formula>ISBLANK(D221)</formula>
    </cfRule>
    <cfRule type="cellIs" dxfId="819" priority="193" stopIfTrue="1" operator="equal">
      <formula>"Pasa"</formula>
    </cfRule>
    <cfRule type="cellIs" dxfId="818" priority="194" stopIfTrue="1" operator="equal">
      <formula>"Falla"</formula>
    </cfRule>
    <cfRule type="cellIs" dxfId="817" priority="195" stopIfTrue="1" operator="equal">
      <formula>"N/A"</formula>
    </cfRule>
    <cfRule type="cellIs" dxfId="816" priority="196" stopIfTrue="1" operator="equal">
      <formula>"N/T"</formula>
    </cfRule>
    <cfRule type="cellIs" dxfId="815" priority="197" stopIfTrue="1" operator="equal">
      <formula>"N/D"</formula>
    </cfRule>
  </conditionalFormatting>
  <conditionalFormatting sqref="D221">
    <cfRule type="cellIs" dxfId="814" priority="191" stopIfTrue="1" operator="equal">
      <formula>"-"</formula>
    </cfRule>
  </conditionalFormatting>
  <conditionalFormatting sqref="D222">
    <cfRule type="expression" dxfId="813" priority="185" stopIfTrue="1">
      <formula>ISBLANK(D222)</formula>
    </cfRule>
    <cfRule type="cellIs" dxfId="812" priority="186" stopIfTrue="1" operator="equal">
      <formula>"Pasa"</formula>
    </cfRule>
    <cfRule type="cellIs" dxfId="811" priority="187" stopIfTrue="1" operator="equal">
      <formula>"Falla"</formula>
    </cfRule>
    <cfRule type="cellIs" dxfId="810" priority="188" stopIfTrue="1" operator="equal">
      <formula>"N/A"</formula>
    </cfRule>
    <cfRule type="cellIs" dxfId="809" priority="189" stopIfTrue="1" operator="equal">
      <formula>"N/T"</formula>
    </cfRule>
    <cfRule type="cellIs" dxfId="808" priority="190" stopIfTrue="1" operator="equal">
      <formula>"N/D"</formula>
    </cfRule>
  </conditionalFormatting>
  <conditionalFormatting sqref="D222">
    <cfRule type="cellIs" dxfId="807" priority="184" stopIfTrue="1" operator="equal">
      <formula>"-"</formula>
    </cfRule>
  </conditionalFormatting>
  <conditionalFormatting sqref="D223">
    <cfRule type="expression" dxfId="806" priority="178" stopIfTrue="1">
      <formula>ISBLANK(D223)</formula>
    </cfRule>
    <cfRule type="cellIs" dxfId="805" priority="179" stopIfTrue="1" operator="equal">
      <formula>"Pasa"</formula>
    </cfRule>
    <cfRule type="cellIs" dxfId="804" priority="180" stopIfTrue="1" operator="equal">
      <formula>"Falla"</formula>
    </cfRule>
    <cfRule type="cellIs" dxfId="803" priority="181" stopIfTrue="1" operator="equal">
      <formula>"N/A"</formula>
    </cfRule>
    <cfRule type="cellIs" dxfId="802" priority="182" stopIfTrue="1" operator="equal">
      <formula>"N/T"</formula>
    </cfRule>
    <cfRule type="cellIs" dxfId="801" priority="183" stopIfTrue="1" operator="equal">
      <formula>"N/D"</formula>
    </cfRule>
  </conditionalFormatting>
  <conditionalFormatting sqref="D223">
    <cfRule type="cellIs" dxfId="800" priority="177" stopIfTrue="1" operator="equal">
      <formula>"-"</formula>
    </cfRule>
  </conditionalFormatting>
  <conditionalFormatting sqref="D224">
    <cfRule type="expression" dxfId="799" priority="171" stopIfTrue="1">
      <formula>ISBLANK(D224)</formula>
    </cfRule>
    <cfRule type="cellIs" dxfId="798" priority="172" stopIfTrue="1" operator="equal">
      <formula>"Pasa"</formula>
    </cfRule>
    <cfRule type="cellIs" dxfId="797" priority="173" stopIfTrue="1" operator="equal">
      <formula>"Falla"</formula>
    </cfRule>
    <cfRule type="cellIs" dxfId="796" priority="174" stopIfTrue="1" operator="equal">
      <formula>"N/A"</formula>
    </cfRule>
    <cfRule type="cellIs" dxfId="795" priority="175" stopIfTrue="1" operator="equal">
      <formula>"N/T"</formula>
    </cfRule>
    <cfRule type="cellIs" dxfId="794" priority="176" stopIfTrue="1" operator="equal">
      <formula>"N/D"</formula>
    </cfRule>
  </conditionalFormatting>
  <conditionalFormatting sqref="D224">
    <cfRule type="cellIs" dxfId="793" priority="170" stopIfTrue="1" operator="equal">
      <formula>"-"</formula>
    </cfRule>
  </conditionalFormatting>
  <conditionalFormatting sqref="D95:D110">
    <cfRule type="expression" dxfId="792" priority="164" stopIfTrue="1">
      <formula>ISBLANK(D95)</formula>
    </cfRule>
    <cfRule type="cellIs" dxfId="791" priority="165" stopIfTrue="1" operator="equal">
      <formula>"Pasa"</formula>
    </cfRule>
    <cfRule type="cellIs" dxfId="790" priority="166" stopIfTrue="1" operator="equal">
      <formula>"Falla"</formula>
    </cfRule>
    <cfRule type="cellIs" dxfId="789" priority="167" stopIfTrue="1" operator="equal">
      <formula>"N/A"</formula>
    </cfRule>
    <cfRule type="cellIs" dxfId="788" priority="168" stopIfTrue="1" operator="equal">
      <formula>"N/T"</formula>
    </cfRule>
    <cfRule type="cellIs" dxfId="787" priority="169" stopIfTrue="1" operator="equal">
      <formula>"N/D"</formula>
    </cfRule>
  </conditionalFormatting>
  <conditionalFormatting sqref="D95:D110">
    <cfRule type="cellIs" dxfId="786" priority="163" stopIfTrue="1" operator="equal">
      <formula>"-"</formula>
    </cfRule>
  </conditionalFormatting>
  <conditionalFormatting sqref="D171:D186">
    <cfRule type="expression" dxfId="785" priority="157" stopIfTrue="1">
      <formula>ISBLANK(D171)</formula>
    </cfRule>
    <cfRule type="cellIs" dxfId="784" priority="158" stopIfTrue="1" operator="equal">
      <formula>"Pasa"</formula>
    </cfRule>
    <cfRule type="cellIs" dxfId="783" priority="159" stopIfTrue="1" operator="equal">
      <formula>"Falla"</formula>
    </cfRule>
    <cfRule type="cellIs" dxfId="782" priority="160" stopIfTrue="1" operator="equal">
      <formula>"N/A"</formula>
    </cfRule>
    <cfRule type="cellIs" dxfId="781" priority="161" stopIfTrue="1" operator="equal">
      <formula>"N/T"</formula>
    </cfRule>
    <cfRule type="cellIs" dxfId="780" priority="162" stopIfTrue="1" operator="equal">
      <formula>"N/D"</formula>
    </cfRule>
  </conditionalFormatting>
  <conditionalFormatting sqref="D171:D186">
    <cfRule type="cellIs" dxfId="779" priority="156" stopIfTrue="1" operator="equal">
      <formula>"-"</formula>
    </cfRule>
  </conditionalFormatting>
  <conditionalFormatting sqref="D323:D338">
    <cfRule type="expression" dxfId="778" priority="150" stopIfTrue="1">
      <formula>ISBLANK(D323)</formula>
    </cfRule>
    <cfRule type="cellIs" dxfId="777" priority="151" stopIfTrue="1" operator="equal">
      <formula>"Pasa"</formula>
    </cfRule>
    <cfRule type="cellIs" dxfId="776" priority="152" stopIfTrue="1" operator="equal">
      <formula>"Falla"</formula>
    </cfRule>
    <cfRule type="cellIs" dxfId="775" priority="153" stopIfTrue="1" operator="equal">
      <formula>"N/A"</formula>
    </cfRule>
    <cfRule type="cellIs" dxfId="774" priority="154" stopIfTrue="1" operator="equal">
      <formula>"N/T"</formula>
    </cfRule>
    <cfRule type="cellIs" dxfId="773" priority="155" stopIfTrue="1" operator="equal">
      <formula>"N/D"</formula>
    </cfRule>
  </conditionalFormatting>
  <conditionalFormatting sqref="D323:D338">
    <cfRule type="cellIs" dxfId="772" priority="149" stopIfTrue="1" operator="equal">
      <formula>"-"</formula>
    </cfRule>
  </conditionalFormatting>
  <conditionalFormatting sqref="D361:D376">
    <cfRule type="expression" dxfId="771" priority="143" stopIfTrue="1">
      <formula>ISBLANK(D361)</formula>
    </cfRule>
    <cfRule type="cellIs" dxfId="770" priority="144" stopIfTrue="1" operator="equal">
      <formula>"Pasa"</formula>
    </cfRule>
    <cfRule type="cellIs" dxfId="769" priority="145" stopIfTrue="1" operator="equal">
      <formula>"Falla"</formula>
    </cfRule>
    <cfRule type="cellIs" dxfId="768" priority="146" stopIfTrue="1" operator="equal">
      <formula>"N/A"</formula>
    </cfRule>
    <cfRule type="cellIs" dxfId="767" priority="147" stopIfTrue="1" operator="equal">
      <formula>"N/T"</formula>
    </cfRule>
    <cfRule type="cellIs" dxfId="766" priority="148" stopIfTrue="1" operator="equal">
      <formula>"N/D"</formula>
    </cfRule>
  </conditionalFormatting>
  <conditionalFormatting sqref="D627:D642">
    <cfRule type="expression" dxfId="765" priority="137" stopIfTrue="1">
      <formula>ISBLANK(D627)</formula>
    </cfRule>
    <cfRule type="cellIs" dxfId="764" priority="138" stopIfTrue="1" operator="equal">
      <formula>"Pasa"</formula>
    </cfRule>
    <cfRule type="cellIs" dxfId="763" priority="139" stopIfTrue="1" operator="equal">
      <formula>"Falla"</formula>
    </cfRule>
    <cfRule type="cellIs" dxfId="762" priority="140" stopIfTrue="1" operator="equal">
      <formula>"N/A"</formula>
    </cfRule>
    <cfRule type="cellIs" dxfId="761" priority="141" stopIfTrue="1" operator="equal">
      <formula>"N/T"</formula>
    </cfRule>
    <cfRule type="cellIs" dxfId="760" priority="142" stopIfTrue="1" operator="equal">
      <formula>"N/D"</formula>
    </cfRule>
  </conditionalFormatting>
  <conditionalFormatting sqref="D703:D718">
    <cfRule type="expression" dxfId="759" priority="131" stopIfTrue="1">
      <formula>ISBLANK(D703)</formula>
    </cfRule>
    <cfRule type="cellIs" dxfId="758" priority="132" stopIfTrue="1" operator="equal">
      <formula>"Pasa"</formula>
    </cfRule>
    <cfRule type="cellIs" dxfId="757" priority="133" stopIfTrue="1" operator="equal">
      <formula>"Falla"</formula>
    </cfRule>
    <cfRule type="cellIs" dxfId="756" priority="134" stopIfTrue="1" operator="equal">
      <formula>"N/A"</formula>
    </cfRule>
    <cfRule type="cellIs" dxfId="755" priority="135" stopIfTrue="1" operator="equal">
      <formula>"N/T"</formula>
    </cfRule>
    <cfRule type="cellIs" dxfId="754" priority="136" stopIfTrue="1" operator="equal">
      <formula>"N/D"</formula>
    </cfRule>
  </conditionalFormatting>
  <conditionalFormatting sqref="D703:D718">
    <cfRule type="cellIs" dxfId="753" priority="130" stopIfTrue="1" operator="equal">
      <formula>"-"</formula>
    </cfRule>
  </conditionalFormatting>
  <conditionalFormatting sqref="D741:D756">
    <cfRule type="expression" dxfId="752" priority="124" stopIfTrue="1">
      <formula>ISBLANK(D741)</formula>
    </cfRule>
    <cfRule type="cellIs" dxfId="751" priority="125" stopIfTrue="1" operator="equal">
      <formula>"Pasa"</formula>
    </cfRule>
    <cfRule type="cellIs" dxfId="750" priority="126" stopIfTrue="1" operator="equal">
      <formula>"Falla"</formula>
    </cfRule>
    <cfRule type="cellIs" dxfId="749" priority="127" stopIfTrue="1" operator="equal">
      <formula>"N/A"</formula>
    </cfRule>
    <cfRule type="cellIs" dxfId="748" priority="128" stopIfTrue="1" operator="equal">
      <formula>"N/T"</formula>
    </cfRule>
    <cfRule type="cellIs" dxfId="747" priority="129" stopIfTrue="1" operator="equal">
      <formula>"N/D"</formula>
    </cfRule>
  </conditionalFormatting>
  <conditionalFormatting sqref="D779:D794">
    <cfRule type="expression" dxfId="746" priority="118" stopIfTrue="1">
      <formula>ISBLANK(D779)</formula>
    </cfRule>
    <cfRule type="cellIs" dxfId="745" priority="119" stopIfTrue="1" operator="equal">
      <formula>"Pasa"</formula>
    </cfRule>
    <cfRule type="cellIs" dxfId="744" priority="120" stopIfTrue="1" operator="equal">
      <formula>"Falla"</formula>
    </cfRule>
    <cfRule type="cellIs" dxfId="743" priority="121" stopIfTrue="1" operator="equal">
      <formula>"N/A"</formula>
    </cfRule>
    <cfRule type="cellIs" dxfId="742" priority="122" stopIfTrue="1" operator="equal">
      <formula>"N/T"</formula>
    </cfRule>
    <cfRule type="cellIs" dxfId="741" priority="123" stopIfTrue="1" operator="equal">
      <formula>"N/D"</formula>
    </cfRule>
  </conditionalFormatting>
  <conditionalFormatting sqref="D817:D832">
    <cfRule type="expression" dxfId="740" priority="112" stopIfTrue="1">
      <formula>ISBLANK(D817)</formula>
    </cfRule>
    <cfRule type="cellIs" dxfId="739" priority="113" stopIfTrue="1" operator="equal">
      <formula>"Pasa"</formula>
    </cfRule>
    <cfRule type="cellIs" dxfId="738" priority="114" stopIfTrue="1" operator="equal">
      <formula>"Falla"</formula>
    </cfRule>
    <cfRule type="cellIs" dxfId="737" priority="115" stopIfTrue="1" operator="equal">
      <formula>"N/A"</formula>
    </cfRule>
    <cfRule type="cellIs" dxfId="736" priority="116" stopIfTrue="1" operator="equal">
      <formula>"N/T"</formula>
    </cfRule>
    <cfRule type="cellIs" dxfId="735" priority="117" stopIfTrue="1" operator="equal">
      <formula>"N/D"</formula>
    </cfRule>
  </conditionalFormatting>
  <conditionalFormatting sqref="D855:D870">
    <cfRule type="expression" dxfId="734" priority="106" stopIfTrue="1">
      <formula>ISBLANK(D855)</formula>
    </cfRule>
    <cfRule type="cellIs" dxfId="733" priority="107" stopIfTrue="1" operator="equal">
      <formula>"Pasa"</formula>
    </cfRule>
    <cfRule type="cellIs" dxfId="732" priority="108" stopIfTrue="1" operator="equal">
      <formula>"Falla"</formula>
    </cfRule>
    <cfRule type="cellIs" dxfId="731" priority="109" stopIfTrue="1" operator="equal">
      <formula>"N/A"</formula>
    </cfRule>
    <cfRule type="cellIs" dxfId="730" priority="110" stopIfTrue="1" operator="equal">
      <formula>"N/T"</formula>
    </cfRule>
    <cfRule type="cellIs" dxfId="729" priority="111" stopIfTrue="1" operator="equal">
      <formula>"N/D"</formula>
    </cfRule>
  </conditionalFormatting>
  <conditionalFormatting sqref="D893:D903">
    <cfRule type="expression" dxfId="728" priority="88" stopIfTrue="1">
      <formula>ISBLANK(D893)</formula>
    </cfRule>
    <cfRule type="cellIs" dxfId="727" priority="89" stopIfTrue="1" operator="equal">
      <formula>"Pasa"</formula>
    </cfRule>
    <cfRule type="cellIs" dxfId="726" priority="90" stopIfTrue="1" operator="equal">
      <formula>"Falla"</formula>
    </cfRule>
    <cfRule type="cellIs" dxfId="725" priority="91" stopIfTrue="1" operator="equal">
      <formula>"N/A"</formula>
    </cfRule>
    <cfRule type="cellIs" dxfId="724" priority="92" stopIfTrue="1" operator="equal">
      <formula>"N/T"</formula>
    </cfRule>
    <cfRule type="cellIs" dxfId="723" priority="93" stopIfTrue="1" operator="equal">
      <formula>"N/D"</formula>
    </cfRule>
  </conditionalFormatting>
  <conditionalFormatting sqref="D904:D908">
    <cfRule type="expression" dxfId="722" priority="82" stopIfTrue="1">
      <formula>ISBLANK(D904)</formula>
    </cfRule>
    <cfRule type="cellIs" dxfId="721" priority="83" stopIfTrue="1" operator="equal">
      <formula>"Pasa"</formula>
    </cfRule>
    <cfRule type="cellIs" dxfId="720" priority="84" stopIfTrue="1" operator="equal">
      <formula>"Falla"</formula>
    </cfRule>
    <cfRule type="cellIs" dxfId="719" priority="85" stopIfTrue="1" operator="equal">
      <formula>"N/A"</formula>
    </cfRule>
    <cfRule type="cellIs" dxfId="718" priority="86" stopIfTrue="1" operator="equal">
      <formula>"N/T"</formula>
    </cfRule>
    <cfRule type="cellIs" dxfId="717" priority="87" stopIfTrue="1" operator="equal">
      <formula>"N/D"</formula>
    </cfRule>
  </conditionalFormatting>
  <conditionalFormatting sqref="D969:D984">
    <cfRule type="expression" dxfId="716" priority="76" stopIfTrue="1">
      <formula>ISBLANK(D969)</formula>
    </cfRule>
    <cfRule type="cellIs" dxfId="715" priority="77" stopIfTrue="1" operator="equal">
      <formula>"Pasa"</formula>
    </cfRule>
    <cfRule type="cellIs" dxfId="714" priority="78" stopIfTrue="1" operator="equal">
      <formula>"Falla"</formula>
    </cfRule>
    <cfRule type="cellIs" dxfId="713" priority="79" stopIfTrue="1" operator="equal">
      <formula>"N/A"</formula>
    </cfRule>
    <cfRule type="cellIs" dxfId="712" priority="80" stopIfTrue="1" operator="equal">
      <formula>"N/T"</formula>
    </cfRule>
    <cfRule type="cellIs" dxfId="711" priority="81" stopIfTrue="1" operator="equal">
      <formula>"N/D"</formula>
    </cfRule>
  </conditionalFormatting>
  <conditionalFormatting sqref="D1045:D1060">
    <cfRule type="expression" dxfId="710" priority="70" stopIfTrue="1">
      <formula>ISBLANK(D1045)</formula>
    </cfRule>
    <cfRule type="cellIs" dxfId="709" priority="71" stopIfTrue="1" operator="equal">
      <formula>"Pasa"</formula>
    </cfRule>
    <cfRule type="cellIs" dxfId="708" priority="72" stopIfTrue="1" operator="equal">
      <formula>"Falla"</formula>
    </cfRule>
    <cfRule type="cellIs" dxfId="707" priority="73" stopIfTrue="1" operator="equal">
      <formula>"N/A"</formula>
    </cfRule>
    <cfRule type="cellIs" dxfId="706" priority="74" stopIfTrue="1" operator="equal">
      <formula>"N/T"</formula>
    </cfRule>
    <cfRule type="cellIs" dxfId="705" priority="75" stopIfTrue="1" operator="equal">
      <formula>"N/D"</formula>
    </cfRule>
  </conditionalFormatting>
  <conditionalFormatting sqref="D1197:D1210">
    <cfRule type="expression" dxfId="704" priority="64" stopIfTrue="1">
      <formula>ISBLANK(D1197)</formula>
    </cfRule>
    <cfRule type="cellIs" dxfId="703" priority="65" stopIfTrue="1" operator="equal">
      <formula>"Pasa"</formula>
    </cfRule>
    <cfRule type="cellIs" dxfId="702" priority="66" stopIfTrue="1" operator="equal">
      <formula>"Falla"</formula>
    </cfRule>
    <cfRule type="cellIs" dxfId="701" priority="67" stopIfTrue="1" operator="equal">
      <formula>"N/A"</formula>
    </cfRule>
    <cfRule type="cellIs" dxfId="700" priority="68" stopIfTrue="1" operator="equal">
      <formula>"N/T"</formula>
    </cfRule>
    <cfRule type="cellIs" dxfId="699" priority="69" stopIfTrue="1" operator="equal">
      <formula>"N/D"</formula>
    </cfRule>
  </conditionalFormatting>
  <conditionalFormatting sqref="D1211:D1212">
    <cfRule type="expression" dxfId="698" priority="58" stopIfTrue="1">
      <formula>ISBLANK(D1211)</formula>
    </cfRule>
    <cfRule type="cellIs" dxfId="697" priority="59" stopIfTrue="1" operator="equal">
      <formula>"Pasa"</formula>
    </cfRule>
    <cfRule type="cellIs" dxfId="696" priority="60" stopIfTrue="1" operator="equal">
      <formula>"Falla"</formula>
    </cfRule>
    <cfRule type="cellIs" dxfId="695" priority="61" stopIfTrue="1" operator="equal">
      <formula>"N/A"</formula>
    </cfRule>
    <cfRule type="cellIs" dxfId="694" priority="62" stopIfTrue="1" operator="equal">
      <formula>"N/T"</formula>
    </cfRule>
    <cfRule type="cellIs" dxfId="693" priority="63" stopIfTrue="1" operator="equal">
      <formula>"N/D"</formula>
    </cfRule>
  </conditionalFormatting>
  <conditionalFormatting sqref="D1235">
    <cfRule type="expression" dxfId="692" priority="52" stopIfTrue="1">
      <formula>ISBLANK(D1235)</formula>
    </cfRule>
    <cfRule type="cellIs" dxfId="691" priority="53" stopIfTrue="1" operator="equal">
      <formula>"Pasa"</formula>
    </cfRule>
    <cfRule type="cellIs" dxfId="690" priority="54" stopIfTrue="1" operator="equal">
      <formula>"Falla"</formula>
    </cfRule>
    <cfRule type="cellIs" dxfId="689" priority="55" stopIfTrue="1" operator="equal">
      <formula>"N/A"</formula>
    </cfRule>
    <cfRule type="cellIs" dxfId="688" priority="56" stopIfTrue="1" operator="equal">
      <formula>"N/T"</formula>
    </cfRule>
    <cfRule type="cellIs" dxfId="687" priority="57" stopIfTrue="1" operator="equal">
      <formula>"N/D"</formula>
    </cfRule>
  </conditionalFormatting>
  <conditionalFormatting sqref="D1236:D1250">
    <cfRule type="expression" dxfId="686" priority="40" stopIfTrue="1">
      <formula>ISBLANK(D1236)</formula>
    </cfRule>
    <cfRule type="cellIs" dxfId="685" priority="41" stopIfTrue="1" operator="equal">
      <formula>"Pasa"</formula>
    </cfRule>
    <cfRule type="cellIs" dxfId="684" priority="42" stopIfTrue="1" operator="equal">
      <formula>"Falla"</formula>
    </cfRule>
    <cfRule type="cellIs" dxfId="683" priority="43" stopIfTrue="1" operator="equal">
      <formula>"N/A"</formula>
    </cfRule>
    <cfRule type="cellIs" dxfId="682" priority="44" stopIfTrue="1" operator="equal">
      <formula>"N/T"</formula>
    </cfRule>
    <cfRule type="cellIs" dxfId="681" priority="45" stopIfTrue="1" operator="equal">
      <formula>"N/D"</formula>
    </cfRule>
  </conditionalFormatting>
  <conditionalFormatting sqref="D1501:D1516">
    <cfRule type="expression" dxfId="680" priority="34" stopIfTrue="1">
      <formula>ISBLANK(D1501)</formula>
    </cfRule>
    <cfRule type="cellIs" dxfId="679" priority="35" stopIfTrue="1" operator="equal">
      <formula>"Pasa"</formula>
    </cfRule>
    <cfRule type="cellIs" dxfId="678" priority="36" stopIfTrue="1" operator="equal">
      <formula>"Falla"</formula>
    </cfRule>
    <cfRule type="cellIs" dxfId="677" priority="37" stopIfTrue="1" operator="equal">
      <formula>"N/A"</formula>
    </cfRule>
    <cfRule type="cellIs" dxfId="676" priority="38" stopIfTrue="1" operator="equal">
      <formula>"N/T"</formula>
    </cfRule>
    <cfRule type="cellIs" dxfId="675" priority="39" stopIfTrue="1" operator="equal">
      <formula>"N/D"</formula>
    </cfRule>
  </conditionalFormatting>
  <conditionalFormatting sqref="D1577:D1592">
    <cfRule type="expression" dxfId="674" priority="28" stopIfTrue="1">
      <formula>ISBLANK(D1577)</formula>
    </cfRule>
    <cfRule type="cellIs" dxfId="673" priority="29" stopIfTrue="1" operator="equal">
      <formula>"Pasa"</formula>
    </cfRule>
    <cfRule type="cellIs" dxfId="672" priority="30" stopIfTrue="1" operator="equal">
      <formula>"Falla"</formula>
    </cfRule>
    <cfRule type="cellIs" dxfId="671" priority="31" stopIfTrue="1" operator="equal">
      <formula>"N/A"</formula>
    </cfRule>
    <cfRule type="cellIs" dxfId="670" priority="32" stopIfTrue="1" operator="equal">
      <formula>"N/T"</formula>
    </cfRule>
    <cfRule type="cellIs" dxfId="669" priority="33" stopIfTrue="1" operator="equal">
      <formula>"N/D"</formula>
    </cfRule>
  </conditionalFormatting>
  <conditionalFormatting sqref="D1577:D1592">
    <cfRule type="cellIs" dxfId="668" priority="27" stopIfTrue="1" operator="equal">
      <formula>"-"</formula>
    </cfRule>
  </conditionalFormatting>
  <conditionalFormatting sqref="D1615:D1630">
    <cfRule type="expression" dxfId="667" priority="21" stopIfTrue="1">
      <formula>ISBLANK(D1615)</formula>
    </cfRule>
    <cfRule type="cellIs" dxfId="666" priority="22" stopIfTrue="1" operator="equal">
      <formula>"Pasa"</formula>
    </cfRule>
    <cfRule type="cellIs" dxfId="665" priority="23" stopIfTrue="1" operator="equal">
      <formula>"Falla"</formula>
    </cfRule>
    <cfRule type="cellIs" dxfId="664" priority="24" stopIfTrue="1" operator="equal">
      <formula>"N/A"</formula>
    </cfRule>
    <cfRule type="cellIs" dxfId="663" priority="25" stopIfTrue="1" operator="equal">
      <formula>"N/T"</formula>
    </cfRule>
    <cfRule type="cellIs" dxfId="662" priority="26" stopIfTrue="1" operator="equal">
      <formula>"N/D"</formula>
    </cfRule>
  </conditionalFormatting>
  <conditionalFormatting sqref="D1653:D1668">
    <cfRule type="expression" dxfId="661" priority="15" stopIfTrue="1">
      <formula>ISBLANK(D1653)</formula>
    </cfRule>
    <cfRule type="cellIs" dxfId="660" priority="16" stopIfTrue="1" operator="equal">
      <formula>"Pasa"</formula>
    </cfRule>
    <cfRule type="cellIs" dxfId="659" priority="17" stopIfTrue="1" operator="equal">
      <formula>"Falla"</formula>
    </cfRule>
    <cfRule type="cellIs" dxfId="658" priority="18" stopIfTrue="1" operator="equal">
      <formula>"N/A"</formula>
    </cfRule>
    <cfRule type="cellIs" dxfId="657" priority="19" stopIfTrue="1" operator="equal">
      <formula>"N/T"</formula>
    </cfRule>
    <cfRule type="cellIs" dxfId="656" priority="20" stopIfTrue="1" operator="equal">
      <formula>"N/D"</formula>
    </cfRule>
  </conditionalFormatting>
  <conditionalFormatting sqref="D1729:D1744">
    <cfRule type="expression" dxfId="655" priority="9" stopIfTrue="1">
      <formula>ISBLANK(D1729)</formula>
    </cfRule>
    <cfRule type="cellIs" dxfId="654" priority="10" stopIfTrue="1" operator="equal">
      <formula>"Pasa"</formula>
    </cfRule>
    <cfRule type="cellIs" dxfId="653" priority="11" stopIfTrue="1" operator="equal">
      <formula>"Falla"</formula>
    </cfRule>
    <cfRule type="cellIs" dxfId="652" priority="12" stopIfTrue="1" operator="equal">
      <formula>"N/A"</formula>
    </cfRule>
    <cfRule type="cellIs" dxfId="651" priority="13" stopIfTrue="1" operator="equal">
      <formula>"N/T"</formula>
    </cfRule>
    <cfRule type="cellIs" dxfId="650" priority="14" stopIfTrue="1" operator="equal">
      <formula>"N/D"</formula>
    </cfRule>
  </conditionalFormatting>
  <conditionalFormatting sqref="D1729:D1744">
    <cfRule type="cellIs" dxfId="649" priority="8" stopIfTrue="1" operator="equal">
      <formula>"-"</formula>
    </cfRule>
  </conditionalFormatting>
  <conditionalFormatting sqref="D1805:D1820">
    <cfRule type="expression" dxfId="648" priority="2" stopIfTrue="1">
      <formula>ISBLANK(D1805)</formula>
    </cfRule>
    <cfRule type="cellIs" dxfId="647" priority="3" stopIfTrue="1" operator="equal">
      <formula>"Pasa"</formula>
    </cfRule>
    <cfRule type="cellIs" dxfId="646" priority="4" stopIfTrue="1" operator="equal">
      <formula>"Falla"</formula>
    </cfRule>
    <cfRule type="cellIs" dxfId="645" priority="5" stopIfTrue="1" operator="equal">
      <formula>"N/A"</formula>
    </cfRule>
    <cfRule type="cellIs" dxfId="644" priority="6" stopIfTrue="1" operator="equal">
      <formula>"N/T"</formula>
    </cfRule>
    <cfRule type="cellIs" dxfId="643" priority="7" stopIfTrue="1" operator="equal">
      <formula>"N/D"</formula>
    </cfRule>
  </conditionalFormatting>
  <conditionalFormatting sqref="D1805:D1820">
    <cfRule type="cellIs" dxfId="642"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2" tint="-0.499984740745262"/>
  </sheetPr>
  <dimension ref="A1:BL1755"/>
  <sheetViews>
    <sheetView zoomScale="90" zoomScaleNormal="90" workbookViewId="0">
      <selection activeCell="N2" sqref="N2"/>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9.855468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95" customHeight="1">
      <c r="B8" s="267" t="s">
        <v>271</v>
      </c>
      <c r="C8" s="267"/>
      <c r="D8" s="267"/>
      <c r="E8" s="267"/>
      <c r="F8" s="267"/>
      <c r="G8" s="267"/>
      <c r="H8" s="267"/>
      <c r="I8" s="267"/>
      <c r="J8" s="267"/>
      <c r="K8" s="267"/>
      <c r="L8" s="267"/>
      <c r="M8" s="267"/>
      <c r="N8" s="19"/>
      <c r="O8" s="19"/>
    </row>
    <row r="9" spans="1:64" ht="24" customHeight="1">
      <c r="B9" s="266" t="s">
        <v>472</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COUNTIF($B$18:$B$3922,B12)</f>
        <v>45</v>
      </c>
      <c r="D12" s="28"/>
      <c r="E12" s="14"/>
      <c r="F12" s="62" t="s">
        <v>26</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27</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29</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30</v>
      </c>
      <c r="C14" s="59">
        <f>C12+C13</f>
        <v>45</v>
      </c>
      <c r="D14" s="28"/>
      <c r="E14" s="14"/>
      <c r="F14" s="62" t="s">
        <v>31</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474</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422</v>
      </c>
      <c r="D18" s="26" t="s">
        <v>32</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423</v>
      </c>
      <c r="D56" s="26" t="s">
        <v>32</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424</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5" t="s">
        <v>425</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5" t="s">
        <v>426</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427</v>
      </c>
      <c r="D208" s="26" t="s">
        <v>32</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428</v>
      </c>
      <c r="D246" s="26" t="s">
        <v>32</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429</v>
      </c>
      <c r="D284" s="26" t="s">
        <v>32</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430</v>
      </c>
      <c r="D322" s="26" t="s">
        <v>32</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268</v>
      </c>
      <c r="B360" s="24" t="s">
        <v>90</v>
      </c>
      <c r="C360" s="25" t="s">
        <v>431</v>
      </c>
      <c r="D360" s="26" t="s">
        <v>32</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268</v>
      </c>
      <c r="B398" s="24" t="s">
        <v>90</v>
      </c>
      <c r="C398" s="25" t="s">
        <v>432</v>
      </c>
      <c r="D398" s="26" t="s">
        <v>32</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268</v>
      </c>
      <c r="B436" s="24" t="s">
        <v>90</v>
      </c>
      <c r="C436" s="25" t="s">
        <v>433</v>
      </c>
      <c r="D436" s="26" t="s">
        <v>32</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268</v>
      </c>
      <c r="B474" s="24" t="s">
        <v>90</v>
      </c>
      <c r="C474" s="25" t="s">
        <v>434</v>
      </c>
      <c r="D474" s="26" t="s">
        <v>32</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268</v>
      </c>
      <c r="B512" s="24" t="s">
        <v>90</v>
      </c>
      <c r="C512" s="25" t="s">
        <v>435</v>
      </c>
      <c r="D512" s="26" t="s">
        <v>32</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268</v>
      </c>
      <c r="B550" s="24" t="s">
        <v>90</v>
      </c>
      <c r="C550" s="25" t="s">
        <v>436</v>
      </c>
      <c r="D550" s="26" t="s">
        <v>32</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268</v>
      </c>
      <c r="B588" s="24" t="s">
        <v>90</v>
      </c>
      <c r="C588" s="25" t="s">
        <v>437</v>
      </c>
      <c r="D588" s="26" t="s">
        <v>32</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65" customHeight="1">
      <c r="A626" s="218" t="s">
        <v>268</v>
      </c>
      <c r="B626" s="24" t="s">
        <v>90</v>
      </c>
      <c r="C626" s="25" t="s">
        <v>438</v>
      </c>
      <c r="D626" s="26" t="s">
        <v>32</v>
      </c>
      <c r="E626" s="123"/>
      <c r="K626" s="233"/>
      <c r="L626" s="19"/>
      <c r="M626" s="19"/>
      <c r="N626" s="19"/>
      <c r="O626" s="19"/>
      <c r="P626" s="19"/>
      <c r="Q626" s="19"/>
      <c r="R626" s="19"/>
      <c r="S626" s="19"/>
      <c r="T626" s="19"/>
      <c r="U626" s="19"/>
      <c r="V626" s="19"/>
      <c r="W626" s="19"/>
      <c r="X626" s="19"/>
      <c r="Y626" s="19"/>
    </row>
    <row r="627" spans="1:25" ht="13.1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3.1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1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1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1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1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1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1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1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1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1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1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1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1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1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1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1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1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1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1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1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1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1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1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65" customHeight="1">
      <c r="A664" s="218" t="s">
        <v>268</v>
      </c>
      <c r="B664" s="24" t="s">
        <v>90</v>
      </c>
      <c r="C664" s="25" t="s">
        <v>439</v>
      </c>
      <c r="D664" s="26" t="s">
        <v>32</v>
      </c>
      <c r="E664" s="123"/>
      <c r="K664" s="233"/>
      <c r="L664" s="19"/>
      <c r="M664" s="19"/>
      <c r="N664" s="19"/>
      <c r="O664" s="19"/>
      <c r="P664" s="19"/>
      <c r="Q664" s="19"/>
      <c r="R664" s="19"/>
      <c r="S664" s="19"/>
      <c r="T664" s="19"/>
      <c r="U664" s="19"/>
      <c r="V664" s="19"/>
      <c r="W664" s="19"/>
      <c r="X664" s="19"/>
      <c r="Y664" s="19"/>
    </row>
    <row r="665" spans="1:25" ht="14.1"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 customHeight="1">
      <c r="A702" s="218" t="s">
        <v>268</v>
      </c>
      <c r="B702" s="24" t="s">
        <v>90</v>
      </c>
      <c r="C702" s="25" t="s">
        <v>440</v>
      </c>
      <c r="D702" s="26" t="s">
        <v>32</v>
      </c>
      <c r="E702" s="123"/>
      <c r="J702" s="125"/>
      <c r="K702" s="233"/>
      <c r="L702" s="19"/>
      <c r="M702" s="19"/>
      <c r="N702" s="19"/>
      <c r="O702" s="19"/>
      <c r="P702" s="19"/>
      <c r="Q702" s="19"/>
      <c r="R702" s="19"/>
      <c r="S702" s="19"/>
      <c r="T702" s="19"/>
      <c r="U702" s="19"/>
      <c r="V702" s="19"/>
      <c r="W702" s="19"/>
      <c r="X702" s="19"/>
      <c r="Y702" s="19"/>
    </row>
    <row r="703" spans="1:25" ht="14.1"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268</v>
      </c>
      <c r="B740" s="24" t="s">
        <v>90</v>
      </c>
      <c r="C740" s="25" t="s">
        <v>441</v>
      </c>
      <c r="D740" s="26" t="s">
        <v>32</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268</v>
      </c>
      <c r="B778" s="24" t="s">
        <v>90</v>
      </c>
      <c r="C778" s="25" t="s">
        <v>442</v>
      </c>
      <c r="D778" s="26" t="s">
        <v>32</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268</v>
      </c>
      <c r="B816" s="24" t="s">
        <v>90</v>
      </c>
      <c r="C816" s="25" t="s">
        <v>443</v>
      </c>
      <c r="D816" s="26" t="s">
        <v>32</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268</v>
      </c>
      <c r="B854" s="24" t="s">
        <v>90</v>
      </c>
      <c r="C854" s="25" t="s">
        <v>444</v>
      </c>
      <c r="D854" s="26" t="s">
        <v>32</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268</v>
      </c>
      <c r="B892" s="24" t="s">
        <v>90</v>
      </c>
      <c r="C892" s="25" t="s">
        <v>445</v>
      </c>
      <c r="D892" s="26" t="s">
        <v>32</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268</v>
      </c>
      <c r="B930" s="24" t="s">
        <v>90</v>
      </c>
      <c r="C930" s="25" t="s">
        <v>446</v>
      </c>
      <c r="D930" s="26" t="s">
        <v>32</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268</v>
      </c>
      <c r="B968" s="24" t="s">
        <v>90</v>
      </c>
      <c r="C968" s="25" t="s">
        <v>447</v>
      </c>
      <c r="D968" s="26" t="s">
        <v>32</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268</v>
      </c>
      <c r="B1006" s="24" t="s">
        <v>90</v>
      </c>
      <c r="C1006" s="25" t="s">
        <v>448</v>
      </c>
      <c r="D1006" s="26" t="s">
        <v>32</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268</v>
      </c>
      <c r="B1044" s="24" t="s">
        <v>90</v>
      </c>
      <c r="C1044" s="25" t="s">
        <v>449</v>
      </c>
      <c r="D1044" s="26" t="s">
        <v>32</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268</v>
      </c>
      <c r="B1082" s="24" t="s">
        <v>90</v>
      </c>
      <c r="C1082" s="25" t="s">
        <v>450</v>
      </c>
      <c r="D1082" s="26" t="s">
        <v>32</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268</v>
      </c>
      <c r="B1120" s="24" t="s">
        <v>90</v>
      </c>
      <c r="C1120" s="25" t="s">
        <v>451</v>
      </c>
      <c r="D1120" s="26" t="s">
        <v>32</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268</v>
      </c>
      <c r="B1158" s="24" t="s">
        <v>90</v>
      </c>
      <c r="C1158" s="25" t="s">
        <v>452</v>
      </c>
      <c r="D1158" s="26" t="s">
        <v>32</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268</v>
      </c>
      <c r="B1196" s="24" t="s">
        <v>90</v>
      </c>
      <c r="C1196" s="25" t="s">
        <v>453</v>
      </c>
      <c r="D1196" s="26" t="s">
        <v>32</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33</v>
      </c>
      <c r="G1197" s="116" t="s">
        <v>37</v>
      </c>
      <c r="H1197" s="117" t="s">
        <v>35</v>
      </c>
      <c r="I1197" s="118" t="s">
        <v>28</v>
      </c>
      <c r="J1197" s="119" t="s">
        <v>26</v>
      </c>
      <c r="K1197" s="226" t="s">
        <v>474</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268</v>
      </c>
      <c r="B1234" s="24" t="s">
        <v>90</v>
      </c>
      <c r="C1234" s="25" t="s">
        <v>454</v>
      </c>
      <c r="D1234" s="26" t="s">
        <v>32</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33</v>
      </c>
      <c r="G1235" s="116" t="s">
        <v>37</v>
      </c>
      <c r="H1235" s="117" t="s">
        <v>35</v>
      </c>
      <c r="I1235" s="118" t="s">
        <v>28</v>
      </c>
      <c r="J1235" s="119" t="s">
        <v>26</v>
      </c>
      <c r="K1235" s="226" t="s">
        <v>474</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268</v>
      </c>
      <c r="B1272" s="24" t="s">
        <v>90</v>
      </c>
      <c r="C1272" s="25" t="s">
        <v>455</v>
      </c>
      <c r="D1272" s="26" t="s">
        <v>32</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33</v>
      </c>
      <c r="G1273" s="116" t="s">
        <v>37</v>
      </c>
      <c r="H1273" s="117" t="s">
        <v>35</v>
      </c>
      <c r="I1273" s="118" t="s">
        <v>28</v>
      </c>
      <c r="J1273" s="119" t="s">
        <v>26</v>
      </c>
      <c r="K1273" s="226" t="s">
        <v>474</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268</v>
      </c>
      <c r="B1310" s="24" t="s">
        <v>90</v>
      </c>
      <c r="C1310" s="25" t="s">
        <v>456</v>
      </c>
      <c r="D1310" s="26" t="s">
        <v>32</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33</v>
      </c>
      <c r="G1311" s="116" t="s">
        <v>37</v>
      </c>
      <c r="H1311" s="117" t="s">
        <v>35</v>
      </c>
      <c r="I1311" s="118" t="s">
        <v>28</v>
      </c>
      <c r="J1311" s="119" t="s">
        <v>26</v>
      </c>
      <c r="K1311" s="226" t="s">
        <v>474</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268</v>
      </c>
      <c r="B1348" s="24" t="s">
        <v>90</v>
      </c>
      <c r="C1348" s="25" t="s">
        <v>457</v>
      </c>
      <c r="D1348" s="26" t="s">
        <v>32</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33</v>
      </c>
      <c r="G1349" s="116" t="s">
        <v>37</v>
      </c>
      <c r="H1349" s="117" t="s">
        <v>35</v>
      </c>
      <c r="I1349" s="118" t="s">
        <v>28</v>
      </c>
      <c r="J1349" s="119" t="s">
        <v>26</v>
      </c>
      <c r="K1349" s="226" t="s">
        <v>474</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268</v>
      </c>
      <c r="B1386" s="24" t="s">
        <v>90</v>
      </c>
      <c r="C1386" s="25" t="s">
        <v>458</v>
      </c>
      <c r="D1386" s="26" t="s">
        <v>32</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33</v>
      </c>
      <c r="G1387" s="116" t="s">
        <v>37</v>
      </c>
      <c r="H1387" s="117" t="s">
        <v>35</v>
      </c>
      <c r="I1387" s="118" t="s">
        <v>28</v>
      </c>
      <c r="J1387" s="119" t="s">
        <v>26</v>
      </c>
      <c r="K1387" s="226" t="s">
        <v>474</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268</v>
      </c>
      <c r="B1424" s="24" t="s">
        <v>90</v>
      </c>
      <c r="C1424" s="25" t="s">
        <v>459</v>
      </c>
      <c r="D1424" s="26" t="s">
        <v>32</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33</v>
      </c>
      <c r="G1425" s="116" t="s">
        <v>37</v>
      </c>
      <c r="H1425" s="117" t="s">
        <v>35</v>
      </c>
      <c r="I1425" s="118" t="s">
        <v>28</v>
      </c>
      <c r="J1425" s="119" t="s">
        <v>26</v>
      </c>
      <c r="K1425" s="226" t="s">
        <v>474</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268</v>
      </c>
      <c r="B1462" s="24" t="s">
        <v>90</v>
      </c>
      <c r="C1462" s="25" t="s">
        <v>460</v>
      </c>
      <c r="D1462" s="26" t="s">
        <v>32</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33</v>
      </c>
      <c r="G1463" s="116" t="s">
        <v>37</v>
      </c>
      <c r="H1463" s="117" t="s">
        <v>35</v>
      </c>
      <c r="I1463" s="118" t="s">
        <v>28</v>
      </c>
      <c r="J1463" s="119" t="s">
        <v>26</v>
      </c>
      <c r="K1463" s="226" t="s">
        <v>474</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268</v>
      </c>
      <c r="B1500" s="24" t="s">
        <v>90</v>
      </c>
      <c r="C1500" s="25" t="s">
        <v>461</v>
      </c>
      <c r="D1500" s="26" t="s">
        <v>32</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33</v>
      </c>
      <c r="G1501" s="116" t="s">
        <v>37</v>
      </c>
      <c r="H1501" s="117" t="s">
        <v>35</v>
      </c>
      <c r="I1501" s="118" t="s">
        <v>28</v>
      </c>
      <c r="J1501" s="119" t="s">
        <v>26</v>
      </c>
      <c r="K1501" s="226" t="s">
        <v>474</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268</v>
      </c>
      <c r="B1538" s="24" t="s">
        <v>90</v>
      </c>
      <c r="C1538" s="25" t="s">
        <v>462</v>
      </c>
      <c r="D1538" s="26" t="s">
        <v>32</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33</v>
      </c>
      <c r="G1539" s="116" t="s">
        <v>37</v>
      </c>
      <c r="H1539" s="117" t="s">
        <v>35</v>
      </c>
      <c r="I1539" s="118" t="s">
        <v>28</v>
      </c>
      <c r="J1539" s="119" t="s">
        <v>26</v>
      </c>
      <c r="K1539" s="226" t="s">
        <v>474</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268</v>
      </c>
      <c r="B1576" s="24" t="s">
        <v>90</v>
      </c>
      <c r="C1576" s="25" t="s">
        <v>463</v>
      </c>
      <c r="D1576" s="26" t="s">
        <v>32</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33</v>
      </c>
      <c r="G1577" s="116" t="s">
        <v>37</v>
      </c>
      <c r="H1577" s="117" t="s">
        <v>35</v>
      </c>
      <c r="I1577" s="118" t="s">
        <v>28</v>
      </c>
      <c r="J1577" s="119" t="s">
        <v>26</v>
      </c>
      <c r="K1577" s="226" t="s">
        <v>474</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5">
      <c r="B1613" s="19"/>
      <c r="C1613" s="19"/>
      <c r="D1613" s="107"/>
      <c r="E1613" s="112"/>
      <c r="K1613" s="233"/>
      <c r="L1613" s="19"/>
    </row>
    <row r="1614" spans="1:12" ht="31.5">
      <c r="A1614" s="218" t="s">
        <v>268</v>
      </c>
      <c r="B1614" s="24" t="s">
        <v>90</v>
      </c>
      <c r="C1614" s="25" t="s">
        <v>464</v>
      </c>
      <c r="D1614" s="26" t="s">
        <v>32</v>
      </c>
      <c r="E1614" s="123"/>
      <c r="K1614" s="233"/>
      <c r="L1614" s="19"/>
    </row>
    <row r="1615" spans="1:12" ht="1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33</v>
      </c>
      <c r="G1615" s="116" t="s">
        <v>37</v>
      </c>
      <c r="H1615" s="117" t="s">
        <v>35</v>
      </c>
      <c r="I1615" s="118" t="s">
        <v>28</v>
      </c>
      <c r="J1615" s="119" t="s">
        <v>26</v>
      </c>
      <c r="K1615" s="226" t="s">
        <v>474</v>
      </c>
      <c r="L1615" s="19"/>
    </row>
    <row r="1616" spans="1:12" ht="1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5">
      <c r="B1650" s="19"/>
      <c r="C1650" s="19"/>
      <c r="D1650" s="107"/>
      <c r="E1650" s="19"/>
      <c r="F1650" s="19"/>
      <c r="G1650" s="19"/>
      <c r="H1650" s="19"/>
      <c r="I1650" s="19"/>
      <c r="J1650" s="19"/>
      <c r="K1650" s="233"/>
    </row>
    <row r="1651" spans="1:11" ht="15">
      <c r="B1651" s="19"/>
      <c r="C1651" s="19"/>
      <c r="D1651" s="107"/>
      <c r="E1651" s="112"/>
      <c r="F1651" s="19"/>
      <c r="G1651" s="19"/>
      <c r="H1651" s="19"/>
      <c r="I1651" s="19"/>
      <c r="J1651" s="19"/>
      <c r="K1651" s="233"/>
    </row>
    <row r="1652" spans="1:11" ht="31.5">
      <c r="A1652" s="218" t="s">
        <v>268</v>
      </c>
      <c r="B1652" s="24" t="s">
        <v>90</v>
      </c>
      <c r="C1652" s="25" t="s">
        <v>465</v>
      </c>
      <c r="D1652" s="26" t="s">
        <v>32</v>
      </c>
      <c r="E1652" s="123"/>
      <c r="K1652" s="233"/>
    </row>
    <row r="1653" spans="1:11" ht="1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33</v>
      </c>
      <c r="G1653" s="116" t="s">
        <v>37</v>
      </c>
      <c r="H1653" s="117" t="s">
        <v>35</v>
      </c>
      <c r="I1653" s="118" t="s">
        <v>28</v>
      </c>
      <c r="J1653" s="119" t="s">
        <v>26</v>
      </c>
      <c r="K1653" s="226" t="s">
        <v>474</v>
      </c>
    </row>
    <row r="1654" spans="1:11" ht="1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5">
      <c r="B1688" s="19"/>
      <c r="C1688" s="19"/>
      <c r="D1688" s="107"/>
      <c r="E1688" s="19"/>
      <c r="F1688" s="19"/>
      <c r="G1688" s="19"/>
      <c r="H1688" s="19"/>
      <c r="I1688" s="19"/>
      <c r="J1688" s="19"/>
      <c r="K1688" s="233"/>
    </row>
    <row r="1689" spans="1:11" ht="15">
      <c r="B1689" s="19"/>
      <c r="C1689" s="19"/>
      <c r="D1689" s="107"/>
      <c r="E1689" s="112"/>
      <c r="F1689" s="19"/>
      <c r="G1689" s="19"/>
      <c r="H1689" s="19"/>
      <c r="I1689" s="19"/>
      <c r="J1689" s="19"/>
      <c r="K1689" s="233"/>
    </row>
    <row r="1690" spans="1:11" ht="31.5">
      <c r="A1690" s="218" t="s">
        <v>268</v>
      </c>
      <c r="B1690" s="24" t="s">
        <v>90</v>
      </c>
      <c r="C1690" s="25" t="s">
        <v>466</v>
      </c>
      <c r="D1690" s="26" t="s">
        <v>32</v>
      </c>
      <c r="E1690" s="123"/>
      <c r="K1690" s="233"/>
    </row>
    <row r="1691" spans="1:11" ht="1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33</v>
      </c>
      <c r="G1691" s="116" t="s">
        <v>37</v>
      </c>
      <c r="H1691" s="117" t="s">
        <v>35</v>
      </c>
      <c r="I1691" s="118" t="s">
        <v>28</v>
      </c>
      <c r="J1691" s="119" t="s">
        <v>26</v>
      </c>
      <c r="K1691" s="226" t="s">
        <v>474</v>
      </c>
    </row>
    <row r="1692" spans="1:11" ht="1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41"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40" priority="681" stopIfTrue="1">
      <formula>ISBLANK(F19)</formula>
    </cfRule>
    <cfRule type="cellIs" dxfId="639" priority="682" stopIfTrue="1" operator="equal">
      <formula>"Pasa"</formula>
    </cfRule>
    <cfRule type="cellIs" dxfId="638" priority="683" stopIfTrue="1" operator="equal">
      <formula>"Falla"</formula>
    </cfRule>
    <cfRule type="cellIs" dxfId="637" priority="684" stopIfTrue="1" operator="equal">
      <formula>"N/A"</formula>
    </cfRule>
    <cfRule type="cellIs" dxfId="636" priority="685" stopIfTrue="1" operator="equal">
      <formula>"N/T"</formula>
    </cfRule>
    <cfRule type="cellIs" dxfId="635" priority="686" stopIfTrue="1" operator="equal">
      <formula>"N/D"</formula>
    </cfRule>
  </conditionalFormatting>
  <conditionalFormatting sqref="E741:E775 E779:E813 E817:E851 E855:E889 E893:E927 E931:E965 E1007:E1041 E1045:E1079 E1083:E1117 E1121:E1155 E1159:E1193 E1197:E1231 E1235:E1269 E1273:E1307">
    <cfRule type="cellIs" dxfId="634" priority="566" stopIfTrue="1" operator="equal">
      <formula>"ERR"</formula>
    </cfRule>
  </conditionalFormatting>
  <conditionalFormatting sqref="E1311:E1345 E1387:E1421 E1425:E1459 E1463:E1497 E1501:E1535 E1539:E1573 E1577:E1611">
    <cfRule type="cellIs" dxfId="633" priority="475" operator="equal">
      <formula>"ERR"</formula>
    </cfRule>
  </conditionalFormatting>
  <conditionalFormatting sqref="E1615:E1649 E1653:E1687">
    <cfRule type="cellIs" dxfId="632" priority="426" stopIfTrue="1" operator="equal">
      <formula>"ERR"</formula>
    </cfRule>
  </conditionalFormatting>
  <conditionalFormatting sqref="E969:E1004">
    <cfRule type="cellIs" dxfId="631" priority="407" stopIfTrue="1" operator="equal">
      <formula>"ERR"</formula>
    </cfRule>
  </conditionalFormatting>
  <conditionalFormatting sqref="E1349:E1383">
    <cfRule type="cellIs" dxfId="630" priority="394" operator="equal">
      <formula>"ERR"</formula>
    </cfRule>
  </conditionalFormatting>
  <conditionalFormatting sqref="D19:D53">
    <cfRule type="expression" dxfId="629" priority="350" stopIfTrue="1">
      <formula>ISBLANK(D19)</formula>
    </cfRule>
    <cfRule type="cellIs" dxfId="628" priority="351" stopIfTrue="1" operator="equal">
      <formula>"Pasa"</formula>
    </cfRule>
    <cfRule type="cellIs" dxfId="627" priority="352" stopIfTrue="1" operator="equal">
      <formula>"Falla"</formula>
    </cfRule>
    <cfRule type="cellIs" dxfId="626" priority="353" stopIfTrue="1" operator="equal">
      <formula>"N/A"</formula>
    </cfRule>
    <cfRule type="cellIs" dxfId="625" priority="354" stopIfTrue="1" operator="equal">
      <formula>"N/T"</formula>
    </cfRule>
    <cfRule type="cellIs" dxfId="624" priority="355" stopIfTrue="1" operator="equal">
      <formula>"N/D"</formula>
    </cfRule>
  </conditionalFormatting>
  <conditionalFormatting sqref="D19:D53">
    <cfRule type="cellIs" dxfId="623" priority="349" stopIfTrue="1" operator="equal">
      <formula>"-"</formula>
    </cfRule>
  </conditionalFormatting>
  <conditionalFormatting sqref="D57:D91">
    <cfRule type="expression" dxfId="622" priority="343" stopIfTrue="1">
      <formula>ISBLANK(D57)</formula>
    </cfRule>
    <cfRule type="cellIs" dxfId="621" priority="344" stopIfTrue="1" operator="equal">
      <formula>"Pasa"</formula>
    </cfRule>
    <cfRule type="cellIs" dxfId="620" priority="345" stopIfTrue="1" operator="equal">
      <formula>"Falla"</formula>
    </cfRule>
    <cfRule type="cellIs" dxfId="619" priority="346" stopIfTrue="1" operator="equal">
      <formula>"N/A"</formula>
    </cfRule>
    <cfRule type="cellIs" dxfId="618" priority="347" stopIfTrue="1" operator="equal">
      <formula>"N/T"</formula>
    </cfRule>
    <cfRule type="cellIs" dxfId="617" priority="348" stopIfTrue="1" operator="equal">
      <formula>"N/D"</formula>
    </cfRule>
  </conditionalFormatting>
  <conditionalFormatting sqref="D57:D91">
    <cfRule type="cellIs" dxfId="616" priority="342" stopIfTrue="1" operator="equal">
      <formula>"-"</formula>
    </cfRule>
  </conditionalFormatting>
  <conditionalFormatting sqref="D95:D129">
    <cfRule type="expression" dxfId="615" priority="336" stopIfTrue="1">
      <formula>ISBLANK(D95)</formula>
    </cfRule>
    <cfRule type="cellIs" dxfId="614" priority="337" stopIfTrue="1" operator="equal">
      <formula>"Pasa"</formula>
    </cfRule>
    <cfRule type="cellIs" dxfId="613" priority="338" stopIfTrue="1" operator="equal">
      <formula>"Falla"</formula>
    </cfRule>
    <cfRule type="cellIs" dxfId="612" priority="339" stopIfTrue="1" operator="equal">
      <formula>"N/A"</formula>
    </cfRule>
    <cfRule type="cellIs" dxfId="611" priority="340" stopIfTrue="1" operator="equal">
      <formula>"N/T"</formula>
    </cfRule>
    <cfRule type="cellIs" dxfId="610" priority="341" stopIfTrue="1" operator="equal">
      <formula>"N/D"</formula>
    </cfRule>
  </conditionalFormatting>
  <conditionalFormatting sqref="D95:D129">
    <cfRule type="cellIs" dxfId="609" priority="335" stopIfTrue="1" operator="equal">
      <formula>"-"</formula>
    </cfRule>
  </conditionalFormatting>
  <conditionalFormatting sqref="D133:D167">
    <cfRule type="expression" dxfId="608" priority="329" stopIfTrue="1">
      <formula>ISBLANK(D133)</formula>
    </cfRule>
    <cfRule type="cellIs" dxfId="607" priority="330" stopIfTrue="1" operator="equal">
      <formula>"Pasa"</formula>
    </cfRule>
    <cfRule type="cellIs" dxfId="606" priority="331" stopIfTrue="1" operator="equal">
      <formula>"Falla"</formula>
    </cfRule>
    <cfRule type="cellIs" dxfId="605" priority="332" stopIfTrue="1" operator="equal">
      <formula>"N/A"</formula>
    </cfRule>
    <cfRule type="cellIs" dxfId="604" priority="333" stopIfTrue="1" operator="equal">
      <formula>"N/T"</formula>
    </cfRule>
    <cfRule type="cellIs" dxfId="603" priority="334" stopIfTrue="1" operator="equal">
      <formula>"N/D"</formula>
    </cfRule>
  </conditionalFormatting>
  <conditionalFormatting sqref="D133:D167">
    <cfRule type="cellIs" dxfId="602" priority="328" stopIfTrue="1" operator="equal">
      <formula>"-"</formula>
    </cfRule>
  </conditionalFormatting>
  <conditionalFormatting sqref="D171:D205">
    <cfRule type="expression" dxfId="601" priority="315" stopIfTrue="1">
      <formula>ISBLANK(D171)</formula>
    </cfRule>
    <cfRule type="cellIs" dxfId="600" priority="316" stopIfTrue="1" operator="equal">
      <formula>"Pasa"</formula>
    </cfRule>
    <cfRule type="cellIs" dxfId="599" priority="317" stopIfTrue="1" operator="equal">
      <formula>"Falla"</formula>
    </cfRule>
    <cfRule type="cellIs" dxfId="598" priority="318" stopIfTrue="1" operator="equal">
      <formula>"N/A"</formula>
    </cfRule>
    <cfRule type="cellIs" dxfId="597" priority="319" stopIfTrue="1" operator="equal">
      <formula>"N/T"</formula>
    </cfRule>
    <cfRule type="cellIs" dxfId="596" priority="320" stopIfTrue="1" operator="equal">
      <formula>"N/D"</formula>
    </cfRule>
  </conditionalFormatting>
  <conditionalFormatting sqref="D171:D205">
    <cfRule type="cellIs" dxfId="595" priority="314" stopIfTrue="1" operator="equal">
      <formula>"-"</formula>
    </cfRule>
  </conditionalFormatting>
  <conditionalFormatting sqref="D209:D243">
    <cfRule type="expression" dxfId="594" priority="308" stopIfTrue="1">
      <formula>ISBLANK(D209)</formula>
    </cfRule>
    <cfRule type="cellIs" dxfId="593" priority="309" stopIfTrue="1" operator="equal">
      <formula>"Pasa"</formula>
    </cfRule>
    <cfRule type="cellIs" dxfId="592" priority="310" stopIfTrue="1" operator="equal">
      <formula>"Falla"</formula>
    </cfRule>
    <cfRule type="cellIs" dxfId="591" priority="311" stopIfTrue="1" operator="equal">
      <formula>"N/A"</formula>
    </cfRule>
    <cfRule type="cellIs" dxfId="590" priority="312" stopIfTrue="1" operator="equal">
      <formula>"N/T"</formula>
    </cfRule>
    <cfRule type="cellIs" dxfId="589" priority="313" stopIfTrue="1" operator="equal">
      <formula>"N/D"</formula>
    </cfRule>
  </conditionalFormatting>
  <conditionalFormatting sqref="D209:D243">
    <cfRule type="cellIs" dxfId="588" priority="307" stopIfTrue="1" operator="equal">
      <formula>"-"</formula>
    </cfRule>
  </conditionalFormatting>
  <conditionalFormatting sqref="D247:D281">
    <cfRule type="expression" dxfId="587" priority="301" stopIfTrue="1">
      <formula>ISBLANK(D247)</formula>
    </cfRule>
    <cfRule type="cellIs" dxfId="586" priority="302" stopIfTrue="1" operator="equal">
      <formula>"Pasa"</formula>
    </cfRule>
    <cfRule type="cellIs" dxfId="585" priority="303" stopIfTrue="1" operator="equal">
      <formula>"Falla"</formula>
    </cfRule>
    <cfRule type="cellIs" dxfId="584" priority="304" stopIfTrue="1" operator="equal">
      <formula>"N/A"</formula>
    </cfRule>
    <cfRule type="cellIs" dxfId="583" priority="305" stopIfTrue="1" operator="equal">
      <formula>"N/T"</formula>
    </cfRule>
    <cfRule type="cellIs" dxfId="582" priority="306" stopIfTrue="1" operator="equal">
      <formula>"N/D"</formula>
    </cfRule>
  </conditionalFormatting>
  <conditionalFormatting sqref="D247:D281">
    <cfRule type="cellIs" dxfId="581" priority="300" stopIfTrue="1" operator="equal">
      <formula>"-"</formula>
    </cfRule>
  </conditionalFormatting>
  <conditionalFormatting sqref="D285:D319">
    <cfRule type="expression" dxfId="580" priority="294" stopIfTrue="1">
      <formula>ISBLANK(D285)</formula>
    </cfRule>
    <cfRule type="cellIs" dxfId="579" priority="295" stopIfTrue="1" operator="equal">
      <formula>"Pasa"</formula>
    </cfRule>
    <cfRule type="cellIs" dxfId="578" priority="296" stopIfTrue="1" operator="equal">
      <formula>"Falla"</formula>
    </cfRule>
    <cfRule type="cellIs" dxfId="577" priority="297" stopIfTrue="1" operator="equal">
      <formula>"N/A"</formula>
    </cfRule>
    <cfRule type="cellIs" dxfId="576" priority="298" stopIfTrue="1" operator="equal">
      <formula>"N/T"</formula>
    </cfRule>
    <cfRule type="cellIs" dxfId="575" priority="299" stopIfTrue="1" operator="equal">
      <formula>"N/D"</formula>
    </cfRule>
  </conditionalFormatting>
  <conditionalFormatting sqref="D285:D319">
    <cfRule type="cellIs" dxfId="574" priority="293" stopIfTrue="1" operator="equal">
      <formula>"-"</formula>
    </cfRule>
  </conditionalFormatting>
  <conditionalFormatting sqref="D323:D357">
    <cfRule type="expression" dxfId="573" priority="287" stopIfTrue="1">
      <formula>ISBLANK(D323)</formula>
    </cfRule>
    <cfRule type="cellIs" dxfId="572" priority="288" stopIfTrue="1" operator="equal">
      <formula>"Pasa"</formula>
    </cfRule>
    <cfRule type="cellIs" dxfId="571" priority="289" stopIfTrue="1" operator="equal">
      <formula>"Falla"</formula>
    </cfRule>
    <cfRule type="cellIs" dxfId="570" priority="290" stopIfTrue="1" operator="equal">
      <formula>"N/A"</formula>
    </cfRule>
    <cfRule type="cellIs" dxfId="569" priority="291" stopIfTrue="1" operator="equal">
      <formula>"N/T"</formula>
    </cfRule>
    <cfRule type="cellIs" dxfId="568" priority="292" stopIfTrue="1" operator="equal">
      <formula>"N/D"</formula>
    </cfRule>
  </conditionalFormatting>
  <conditionalFormatting sqref="D323:D357">
    <cfRule type="cellIs" dxfId="567" priority="286" stopIfTrue="1" operator="equal">
      <formula>"-"</formula>
    </cfRule>
  </conditionalFormatting>
  <conditionalFormatting sqref="D361:D395">
    <cfRule type="expression" dxfId="566" priority="280" stopIfTrue="1">
      <formula>ISBLANK(D361)</formula>
    </cfRule>
    <cfRule type="cellIs" dxfId="565" priority="281" stopIfTrue="1" operator="equal">
      <formula>"Pasa"</formula>
    </cfRule>
    <cfRule type="cellIs" dxfId="564" priority="282" stopIfTrue="1" operator="equal">
      <formula>"Falla"</formula>
    </cfRule>
    <cfRule type="cellIs" dxfId="563" priority="283" stopIfTrue="1" operator="equal">
      <formula>"N/A"</formula>
    </cfRule>
    <cfRule type="cellIs" dxfId="562" priority="284" stopIfTrue="1" operator="equal">
      <formula>"N/T"</formula>
    </cfRule>
    <cfRule type="cellIs" dxfId="561" priority="285" stopIfTrue="1" operator="equal">
      <formula>"N/D"</formula>
    </cfRule>
  </conditionalFormatting>
  <conditionalFormatting sqref="D361:D395">
    <cfRule type="cellIs" dxfId="560" priority="279" stopIfTrue="1" operator="equal">
      <formula>"-"</formula>
    </cfRule>
  </conditionalFormatting>
  <conditionalFormatting sqref="D399:D433">
    <cfRule type="expression" dxfId="559" priority="273" stopIfTrue="1">
      <formula>ISBLANK(D399)</formula>
    </cfRule>
    <cfRule type="cellIs" dxfId="558" priority="274" stopIfTrue="1" operator="equal">
      <formula>"Pasa"</formula>
    </cfRule>
    <cfRule type="cellIs" dxfId="557" priority="275" stopIfTrue="1" operator="equal">
      <formula>"Falla"</formula>
    </cfRule>
    <cfRule type="cellIs" dxfId="556" priority="276" stopIfTrue="1" operator="equal">
      <formula>"N/A"</formula>
    </cfRule>
    <cfRule type="cellIs" dxfId="555" priority="277" stopIfTrue="1" operator="equal">
      <formula>"N/T"</formula>
    </cfRule>
    <cfRule type="cellIs" dxfId="554" priority="278" stopIfTrue="1" operator="equal">
      <formula>"N/D"</formula>
    </cfRule>
  </conditionalFormatting>
  <conditionalFormatting sqref="D399:D433">
    <cfRule type="cellIs" dxfId="553" priority="272" stopIfTrue="1" operator="equal">
      <formula>"-"</formula>
    </cfRule>
  </conditionalFormatting>
  <conditionalFormatting sqref="D437:D471">
    <cfRule type="expression" dxfId="552" priority="266" stopIfTrue="1">
      <formula>ISBLANK(D437)</formula>
    </cfRule>
    <cfRule type="cellIs" dxfId="551" priority="267" stopIfTrue="1" operator="equal">
      <formula>"Pasa"</formula>
    </cfRule>
    <cfRule type="cellIs" dxfId="550" priority="268" stopIfTrue="1" operator="equal">
      <formula>"Falla"</formula>
    </cfRule>
    <cfRule type="cellIs" dxfId="549" priority="269" stopIfTrue="1" operator="equal">
      <formula>"N/A"</formula>
    </cfRule>
    <cfRule type="cellIs" dxfId="548" priority="270" stopIfTrue="1" operator="equal">
      <formula>"N/T"</formula>
    </cfRule>
    <cfRule type="cellIs" dxfId="547" priority="271" stopIfTrue="1" operator="equal">
      <formula>"N/D"</formula>
    </cfRule>
  </conditionalFormatting>
  <conditionalFormatting sqref="D437:D471">
    <cfRule type="cellIs" dxfId="546" priority="265" stopIfTrue="1" operator="equal">
      <formula>"-"</formula>
    </cfRule>
  </conditionalFormatting>
  <conditionalFormatting sqref="D475:D509">
    <cfRule type="expression" dxfId="545" priority="259" stopIfTrue="1">
      <formula>ISBLANK(D475)</formula>
    </cfRule>
    <cfRule type="cellIs" dxfId="544" priority="260" stopIfTrue="1" operator="equal">
      <formula>"Pasa"</formula>
    </cfRule>
    <cfRule type="cellIs" dxfId="543" priority="261" stopIfTrue="1" operator="equal">
      <formula>"Falla"</formula>
    </cfRule>
    <cfRule type="cellIs" dxfId="542" priority="262" stopIfTrue="1" operator="equal">
      <formula>"N/A"</formula>
    </cfRule>
    <cfRule type="cellIs" dxfId="541" priority="263" stopIfTrue="1" operator="equal">
      <formula>"N/T"</formula>
    </cfRule>
    <cfRule type="cellIs" dxfId="540" priority="264" stopIfTrue="1" operator="equal">
      <formula>"N/D"</formula>
    </cfRule>
  </conditionalFormatting>
  <conditionalFormatting sqref="D475:D509">
    <cfRule type="cellIs" dxfId="539" priority="258" stopIfTrue="1" operator="equal">
      <formula>"-"</formula>
    </cfRule>
  </conditionalFormatting>
  <conditionalFormatting sqref="D513:D547">
    <cfRule type="expression" dxfId="538" priority="252" stopIfTrue="1">
      <formula>ISBLANK(D513)</formula>
    </cfRule>
    <cfRule type="cellIs" dxfId="537" priority="253" stopIfTrue="1" operator="equal">
      <formula>"Pasa"</formula>
    </cfRule>
    <cfRule type="cellIs" dxfId="536" priority="254" stopIfTrue="1" operator="equal">
      <formula>"Falla"</formula>
    </cfRule>
    <cfRule type="cellIs" dxfId="535" priority="255" stopIfTrue="1" operator="equal">
      <formula>"N/A"</formula>
    </cfRule>
    <cfRule type="cellIs" dxfId="534" priority="256" stopIfTrue="1" operator="equal">
      <formula>"N/T"</formula>
    </cfRule>
    <cfRule type="cellIs" dxfId="533" priority="257" stopIfTrue="1" operator="equal">
      <formula>"N/D"</formula>
    </cfRule>
  </conditionalFormatting>
  <conditionalFormatting sqref="D513:D547">
    <cfRule type="cellIs" dxfId="532" priority="251" stopIfTrue="1" operator="equal">
      <formula>"-"</formula>
    </cfRule>
  </conditionalFormatting>
  <conditionalFormatting sqref="D551:D585">
    <cfRule type="expression" dxfId="531" priority="245" stopIfTrue="1">
      <formula>ISBLANK(D551)</formula>
    </cfRule>
    <cfRule type="cellIs" dxfId="530" priority="246" stopIfTrue="1" operator="equal">
      <formula>"Pasa"</formula>
    </cfRule>
    <cfRule type="cellIs" dxfId="529" priority="247" stopIfTrue="1" operator="equal">
      <formula>"Falla"</formula>
    </cfRule>
    <cfRule type="cellIs" dxfId="528" priority="248" stopIfTrue="1" operator="equal">
      <formula>"N/A"</formula>
    </cfRule>
    <cfRule type="cellIs" dxfId="527" priority="249" stopIfTrue="1" operator="equal">
      <formula>"N/T"</formula>
    </cfRule>
    <cfRule type="cellIs" dxfId="526" priority="250" stopIfTrue="1" operator="equal">
      <formula>"N/D"</formula>
    </cfRule>
  </conditionalFormatting>
  <conditionalFormatting sqref="D551:D585">
    <cfRule type="cellIs" dxfId="525" priority="244" stopIfTrue="1" operator="equal">
      <formula>"-"</formula>
    </cfRule>
  </conditionalFormatting>
  <conditionalFormatting sqref="D589:D623">
    <cfRule type="expression" dxfId="524" priority="238" stopIfTrue="1">
      <formula>ISBLANK(D589)</formula>
    </cfRule>
    <cfRule type="cellIs" dxfId="523" priority="239" stopIfTrue="1" operator="equal">
      <formula>"Pasa"</formula>
    </cfRule>
    <cfRule type="cellIs" dxfId="522" priority="240" stopIfTrue="1" operator="equal">
      <formula>"Falla"</formula>
    </cfRule>
    <cfRule type="cellIs" dxfId="521" priority="241" stopIfTrue="1" operator="equal">
      <formula>"N/A"</formula>
    </cfRule>
    <cfRule type="cellIs" dxfId="520" priority="242" stopIfTrue="1" operator="equal">
      <formula>"N/T"</formula>
    </cfRule>
    <cfRule type="cellIs" dxfId="519" priority="243" stopIfTrue="1" operator="equal">
      <formula>"N/D"</formula>
    </cfRule>
  </conditionalFormatting>
  <conditionalFormatting sqref="D589:D623">
    <cfRule type="cellIs" dxfId="518" priority="237" stopIfTrue="1" operator="equal">
      <formula>"-"</formula>
    </cfRule>
  </conditionalFormatting>
  <conditionalFormatting sqref="D627:D661">
    <cfRule type="expression" dxfId="517" priority="231" stopIfTrue="1">
      <formula>ISBLANK(D627)</formula>
    </cfRule>
    <cfRule type="cellIs" dxfId="516" priority="232" stopIfTrue="1" operator="equal">
      <formula>"Pasa"</formula>
    </cfRule>
    <cfRule type="cellIs" dxfId="515" priority="233" stopIfTrue="1" operator="equal">
      <formula>"Falla"</formula>
    </cfRule>
    <cfRule type="cellIs" dxfId="514" priority="234" stopIfTrue="1" operator="equal">
      <formula>"N/A"</formula>
    </cfRule>
    <cfRule type="cellIs" dxfId="513" priority="235" stopIfTrue="1" operator="equal">
      <formula>"N/T"</formula>
    </cfRule>
    <cfRule type="cellIs" dxfId="512" priority="236" stopIfTrue="1" operator="equal">
      <formula>"N/D"</formula>
    </cfRule>
  </conditionalFormatting>
  <conditionalFormatting sqref="D627:D661">
    <cfRule type="cellIs" dxfId="511" priority="230" stopIfTrue="1" operator="equal">
      <formula>"-"</formula>
    </cfRule>
  </conditionalFormatting>
  <conditionalFormatting sqref="D665:D699">
    <cfRule type="expression" dxfId="510" priority="224" stopIfTrue="1">
      <formula>ISBLANK(D665)</formula>
    </cfRule>
    <cfRule type="cellIs" dxfId="509" priority="225" stopIfTrue="1" operator="equal">
      <formula>"Pasa"</formula>
    </cfRule>
    <cfRule type="cellIs" dxfId="508" priority="226" stopIfTrue="1" operator="equal">
      <formula>"Falla"</formula>
    </cfRule>
    <cfRule type="cellIs" dxfId="507" priority="227" stopIfTrue="1" operator="equal">
      <formula>"N/A"</formula>
    </cfRule>
    <cfRule type="cellIs" dxfId="506" priority="228" stopIfTrue="1" operator="equal">
      <formula>"N/T"</formula>
    </cfRule>
    <cfRule type="cellIs" dxfId="505" priority="229" stopIfTrue="1" operator="equal">
      <formula>"N/D"</formula>
    </cfRule>
  </conditionalFormatting>
  <conditionalFormatting sqref="D665:D699">
    <cfRule type="cellIs" dxfId="504" priority="223" stopIfTrue="1" operator="equal">
      <formula>"-"</formula>
    </cfRule>
  </conditionalFormatting>
  <conditionalFormatting sqref="D703:D737">
    <cfRule type="expression" dxfId="503" priority="217" stopIfTrue="1">
      <formula>ISBLANK(D703)</formula>
    </cfRule>
    <cfRule type="cellIs" dxfId="502" priority="218" stopIfTrue="1" operator="equal">
      <formula>"Pasa"</formula>
    </cfRule>
    <cfRule type="cellIs" dxfId="501" priority="219" stopIfTrue="1" operator="equal">
      <formula>"Falla"</formula>
    </cfRule>
    <cfRule type="cellIs" dxfId="500" priority="220" stopIfTrue="1" operator="equal">
      <formula>"N/A"</formula>
    </cfRule>
    <cfRule type="cellIs" dxfId="499" priority="221" stopIfTrue="1" operator="equal">
      <formula>"N/T"</formula>
    </cfRule>
    <cfRule type="cellIs" dxfId="498" priority="222" stopIfTrue="1" operator="equal">
      <formula>"N/D"</formula>
    </cfRule>
  </conditionalFormatting>
  <conditionalFormatting sqref="D703:D737">
    <cfRule type="cellIs" dxfId="497" priority="216" stopIfTrue="1" operator="equal">
      <formula>"-"</formula>
    </cfRule>
  </conditionalFormatting>
  <conditionalFormatting sqref="D741:D775">
    <cfRule type="expression" dxfId="496" priority="210" stopIfTrue="1">
      <formula>ISBLANK(D741)</formula>
    </cfRule>
    <cfRule type="cellIs" dxfId="495" priority="211" stopIfTrue="1" operator="equal">
      <formula>"Pasa"</formula>
    </cfRule>
    <cfRule type="cellIs" dxfId="494" priority="212" stopIfTrue="1" operator="equal">
      <formula>"Falla"</formula>
    </cfRule>
    <cfRule type="cellIs" dxfId="493" priority="213" stopIfTrue="1" operator="equal">
      <formula>"N/A"</formula>
    </cfRule>
    <cfRule type="cellIs" dxfId="492" priority="214" stopIfTrue="1" operator="equal">
      <formula>"N/T"</formula>
    </cfRule>
    <cfRule type="cellIs" dxfId="491" priority="215" stopIfTrue="1" operator="equal">
      <formula>"N/D"</formula>
    </cfRule>
  </conditionalFormatting>
  <conditionalFormatting sqref="D741:D775">
    <cfRule type="cellIs" dxfId="490" priority="209" stopIfTrue="1" operator="equal">
      <formula>"-"</formula>
    </cfRule>
  </conditionalFormatting>
  <conditionalFormatting sqref="D779:D813">
    <cfRule type="expression" dxfId="489" priority="203" stopIfTrue="1">
      <formula>ISBLANK(D779)</formula>
    </cfRule>
    <cfRule type="cellIs" dxfId="488" priority="204" stopIfTrue="1" operator="equal">
      <formula>"Pasa"</formula>
    </cfRule>
    <cfRule type="cellIs" dxfId="487" priority="205" stopIfTrue="1" operator="equal">
      <formula>"Falla"</formula>
    </cfRule>
    <cfRule type="cellIs" dxfId="486" priority="206" stopIfTrue="1" operator="equal">
      <formula>"N/A"</formula>
    </cfRule>
    <cfRule type="cellIs" dxfId="485" priority="207" stopIfTrue="1" operator="equal">
      <formula>"N/T"</formula>
    </cfRule>
    <cfRule type="cellIs" dxfId="484" priority="208" stopIfTrue="1" operator="equal">
      <formula>"N/D"</formula>
    </cfRule>
  </conditionalFormatting>
  <conditionalFormatting sqref="D779:D813">
    <cfRule type="cellIs" dxfId="483" priority="202" stopIfTrue="1" operator="equal">
      <formula>"-"</formula>
    </cfRule>
  </conditionalFormatting>
  <conditionalFormatting sqref="D817:D851">
    <cfRule type="expression" dxfId="482" priority="196" stopIfTrue="1">
      <formula>ISBLANK(D817)</formula>
    </cfRule>
    <cfRule type="cellIs" dxfId="481" priority="197" stopIfTrue="1" operator="equal">
      <formula>"Pasa"</formula>
    </cfRule>
    <cfRule type="cellIs" dxfId="480" priority="198" stopIfTrue="1" operator="equal">
      <formula>"Falla"</formula>
    </cfRule>
    <cfRule type="cellIs" dxfId="479" priority="199" stopIfTrue="1" operator="equal">
      <formula>"N/A"</formula>
    </cfRule>
    <cfRule type="cellIs" dxfId="478" priority="200" stopIfTrue="1" operator="equal">
      <formula>"N/T"</formula>
    </cfRule>
    <cfRule type="cellIs" dxfId="477" priority="201" stopIfTrue="1" operator="equal">
      <formula>"N/D"</formula>
    </cfRule>
  </conditionalFormatting>
  <conditionalFormatting sqref="D817:D851">
    <cfRule type="cellIs" dxfId="476" priority="195" stopIfTrue="1" operator="equal">
      <formula>"-"</formula>
    </cfRule>
  </conditionalFormatting>
  <conditionalFormatting sqref="D855:D889">
    <cfRule type="expression" dxfId="475" priority="189" stopIfTrue="1">
      <formula>ISBLANK(D855)</formula>
    </cfRule>
    <cfRule type="cellIs" dxfId="474" priority="190" stopIfTrue="1" operator="equal">
      <formula>"Pasa"</formula>
    </cfRule>
    <cfRule type="cellIs" dxfId="473" priority="191" stopIfTrue="1" operator="equal">
      <formula>"Falla"</formula>
    </cfRule>
    <cfRule type="cellIs" dxfId="472" priority="192" stopIfTrue="1" operator="equal">
      <formula>"N/A"</formula>
    </cfRule>
    <cfRule type="cellIs" dxfId="471" priority="193" stopIfTrue="1" operator="equal">
      <formula>"N/T"</formula>
    </cfRule>
    <cfRule type="cellIs" dxfId="470" priority="194" stopIfTrue="1" operator="equal">
      <formula>"N/D"</formula>
    </cfRule>
  </conditionalFormatting>
  <conditionalFormatting sqref="D855:D889">
    <cfRule type="cellIs" dxfId="469" priority="188" stopIfTrue="1" operator="equal">
      <formula>"-"</formula>
    </cfRule>
  </conditionalFormatting>
  <conditionalFormatting sqref="D893:D927">
    <cfRule type="expression" dxfId="468" priority="182" stopIfTrue="1">
      <formula>ISBLANK(D893)</formula>
    </cfRule>
    <cfRule type="cellIs" dxfId="467" priority="183" stopIfTrue="1" operator="equal">
      <formula>"Pasa"</formula>
    </cfRule>
    <cfRule type="cellIs" dxfId="466" priority="184" stopIfTrue="1" operator="equal">
      <formula>"Falla"</formula>
    </cfRule>
    <cfRule type="cellIs" dxfId="465" priority="185" stopIfTrue="1" operator="equal">
      <formula>"N/A"</formula>
    </cfRule>
    <cfRule type="cellIs" dxfId="464" priority="186" stopIfTrue="1" operator="equal">
      <formula>"N/T"</formula>
    </cfRule>
    <cfRule type="cellIs" dxfId="463" priority="187" stopIfTrue="1" operator="equal">
      <formula>"N/D"</formula>
    </cfRule>
  </conditionalFormatting>
  <conditionalFormatting sqref="D893:D927">
    <cfRule type="cellIs" dxfId="462" priority="181" stopIfTrue="1" operator="equal">
      <formula>"-"</formula>
    </cfRule>
  </conditionalFormatting>
  <conditionalFormatting sqref="D931:D965">
    <cfRule type="expression" dxfId="461" priority="175" stopIfTrue="1">
      <formula>ISBLANK(D931)</formula>
    </cfRule>
    <cfRule type="cellIs" dxfId="460" priority="176" stopIfTrue="1" operator="equal">
      <formula>"Pasa"</formula>
    </cfRule>
    <cfRule type="cellIs" dxfId="459" priority="177" stopIfTrue="1" operator="equal">
      <formula>"Falla"</formula>
    </cfRule>
    <cfRule type="cellIs" dxfId="458" priority="178" stopIfTrue="1" operator="equal">
      <formula>"N/A"</formula>
    </cfRule>
    <cfRule type="cellIs" dxfId="457" priority="179" stopIfTrue="1" operator="equal">
      <formula>"N/T"</formula>
    </cfRule>
    <cfRule type="cellIs" dxfId="456" priority="180" stopIfTrue="1" operator="equal">
      <formula>"N/D"</formula>
    </cfRule>
  </conditionalFormatting>
  <conditionalFormatting sqref="D931:D965">
    <cfRule type="cellIs" dxfId="455" priority="174" stopIfTrue="1" operator="equal">
      <formula>"-"</formula>
    </cfRule>
  </conditionalFormatting>
  <conditionalFormatting sqref="D969:D1003">
    <cfRule type="expression" dxfId="454" priority="168" stopIfTrue="1">
      <formula>ISBLANK(D969)</formula>
    </cfRule>
    <cfRule type="cellIs" dxfId="453" priority="169" stopIfTrue="1" operator="equal">
      <formula>"Pasa"</formula>
    </cfRule>
    <cfRule type="cellIs" dxfId="452" priority="170" stopIfTrue="1" operator="equal">
      <formula>"Falla"</formula>
    </cfRule>
    <cfRule type="cellIs" dxfId="451" priority="171" stopIfTrue="1" operator="equal">
      <formula>"N/A"</formula>
    </cfRule>
    <cfRule type="cellIs" dxfId="450" priority="172" stopIfTrue="1" operator="equal">
      <formula>"N/T"</formula>
    </cfRule>
    <cfRule type="cellIs" dxfId="449" priority="173" stopIfTrue="1" operator="equal">
      <formula>"N/D"</formula>
    </cfRule>
  </conditionalFormatting>
  <conditionalFormatting sqref="D969:D1003">
    <cfRule type="cellIs" dxfId="448" priority="167" stopIfTrue="1" operator="equal">
      <formula>"-"</formula>
    </cfRule>
  </conditionalFormatting>
  <conditionalFormatting sqref="D1007:D1041">
    <cfRule type="expression" dxfId="447" priority="161" stopIfTrue="1">
      <formula>ISBLANK(D1007)</formula>
    </cfRule>
    <cfRule type="cellIs" dxfId="446" priority="162" stopIfTrue="1" operator="equal">
      <formula>"Pasa"</formula>
    </cfRule>
    <cfRule type="cellIs" dxfId="445" priority="163" stopIfTrue="1" operator="equal">
      <formula>"Falla"</formula>
    </cfRule>
    <cfRule type="cellIs" dxfId="444" priority="164" stopIfTrue="1" operator="equal">
      <formula>"N/A"</formula>
    </cfRule>
    <cfRule type="cellIs" dxfId="443" priority="165" stopIfTrue="1" operator="equal">
      <formula>"N/T"</formula>
    </cfRule>
    <cfRule type="cellIs" dxfId="442" priority="166" stopIfTrue="1" operator="equal">
      <formula>"N/D"</formula>
    </cfRule>
  </conditionalFormatting>
  <conditionalFormatting sqref="D1007:D1041">
    <cfRule type="cellIs" dxfId="441" priority="160" stopIfTrue="1" operator="equal">
      <formula>"-"</formula>
    </cfRule>
  </conditionalFormatting>
  <conditionalFormatting sqref="D1045:D1079">
    <cfRule type="expression" dxfId="440" priority="154" stopIfTrue="1">
      <formula>ISBLANK(D1045)</formula>
    </cfRule>
    <cfRule type="cellIs" dxfId="439" priority="155" stopIfTrue="1" operator="equal">
      <formula>"Pasa"</formula>
    </cfRule>
    <cfRule type="cellIs" dxfId="438" priority="156" stopIfTrue="1" operator="equal">
      <formula>"Falla"</formula>
    </cfRule>
    <cfRule type="cellIs" dxfId="437" priority="157" stopIfTrue="1" operator="equal">
      <formula>"N/A"</formula>
    </cfRule>
    <cfRule type="cellIs" dxfId="436" priority="158" stopIfTrue="1" operator="equal">
      <formula>"N/T"</formula>
    </cfRule>
    <cfRule type="cellIs" dxfId="435" priority="159" stopIfTrue="1" operator="equal">
      <formula>"N/D"</formula>
    </cfRule>
  </conditionalFormatting>
  <conditionalFormatting sqref="D1045:D1079">
    <cfRule type="cellIs" dxfId="434" priority="153" stopIfTrue="1" operator="equal">
      <formula>"-"</formula>
    </cfRule>
  </conditionalFormatting>
  <conditionalFormatting sqref="D1083:D1117">
    <cfRule type="expression" dxfId="433" priority="147" stopIfTrue="1">
      <formula>ISBLANK(D1083)</formula>
    </cfRule>
    <cfRule type="cellIs" dxfId="432" priority="148" stopIfTrue="1" operator="equal">
      <formula>"Pasa"</formula>
    </cfRule>
    <cfRule type="cellIs" dxfId="431" priority="149" stopIfTrue="1" operator="equal">
      <formula>"Falla"</formula>
    </cfRule>
    <cfRule type="cellIs" dxfId="430" priority="150" stopIfTrue="1" operator="equal">
      <formula>"N/A"</formula>
    </cfRule>
    <cfRule type="cellIs" dxfId="429" priority="151" stopIfTrue="1" operator="equal">
      <formula>"N/T"</formula>
    </cfRule>
    <cfRule type="cellIs" dxfId="428" priority="152" stopIfTrue="1" operator="equal">
      <formula>"N/D"</formula>
    </cfRule>
  </conditionalFormatting>
  <conditionalFormatting sqref="D1083:D1117">
    <cfRule type="cellIs" dxfId="427" priority="146" stopIfTrue="1" operator="equal">
      <formula>"-"</formula>
    </cfRule>
  </conditionalFormatting>
  <conditionalFormatting sqref="D1121:D1155">
    <cfRule type="expression" dxfId="426" priority="140" stopIfTrue="1">
      <formula>ISBLANK(D1121)</formula>
    </cfRule>
    <cfRule type="cellIs" dxfId="425" priority="141" stopIfTrue="1" operator="equal">
      <formula>"Pasa"</formula>
    </cfRule>
    <cfRule type="cellIs" dxfId="424" priority="142" stopIfTrue="1" operator="equal">
      <formula>"Falla"</formula>
    </cfRule>
    <cfRule type="cellIs" dxfId="423" priority="143" stopIfTrue="1" operator="equal">
      <formula>"N/A"</formula>
    </cfRule>
    <cfRule type="cellIs" dxfId="422" priority="144" stopIfTrue="1" operator="equal">
      <formula>"N/T"</formula>
    </cfRule>
    <cfRule type="cellIs" dxfId="421" priority="145" stopIfTrue="1" operator="equal">
      <formula>"N/D"</formula>
    </cfRule>
  </conditionalFormatting>
  <conditionalFormatting sqref="D1121:D1155">
    <cfRule type="cellIs" dxfId="420" priority="139" stopIfTrue="1" operator="equal">
      <formula>"-"</formula>
    </cfRule>
  </conditionalFormatting>
  <conditionalFormatting sqref="D1159:D1193">
    <cfRule type="expression" dxfId="419" priority="133" stopIfTrue="1">
      <formula>ISBLANK(D1159)</formula>
    </cfRule>
    <cfRule type="cellIs" dxfId="418" priority="134" stopIfTrue="1" operator="equal">
      <formula>"Pasa"</formula>
    </cfRule>
    <cfRule type="cellIs" dxfId="417" priority="135" stopIfTrue="1" operator="equal">
      <formula>"Falla"</formula>
    </cfRule>
    <cfRule type="cellIs" dxfId="416" priority="136" stopIfTrue="1" operator="equal">
      <formula>"N/A"</formula>
    </cfRule>
    <cfRule type="cellIs" dxfId="415" priority="137" stopIfTrue="1" operator="equal">
      <formula>"N/T"</formula>
    </cfRule>
    <cfRule type="cellIs" dxfId="414" priority="138" stopIfTrue="1" operator="equal">
      <formula>"N/D"</formula>
    </cfRule>
  </conditionalFormatting>
  <conditionalFormatting sqref="D1159:D1193">
    <cfRule type="cellIs" dxfId="413" priority="132" stopIfTrue="1" operator="equal">
      <formula>"-"</formula>
    </cfRule>
  </conditionalFormatting>
  <conditionalFormatting sqref="D1197:D1231">
    <cfRule type="expression" dxfId="412" priority="126" stopIfTrue="1">
      <formula>ISBLANK(D1197)</formula>
    </cfRule>
    <cfRule type="cellIs" dxfId="411" priority="127" stopIfTrue="1" operator="equal">
      <formula>"Pasa"</formula>
    </cfRule>
    <cfRule type="cellIs" dxfId="410" priority="128" stopIfTrue="1" operator="equal">
      <formula>"Falla"</formula>
    </cfRule>
    <cfRule type="cellIs" dxfId="409" priority="129" stopIfTrue="1" operator="equal">
      <formula>"N/A"</formula>
    </cfRule>
    <cfRule type="cellIs" dxfId="408" priority="130" stopIfTrue="1" operator="equal">
      <formula>"N/T"</formula>
    </cfRule>
    <cfRule type="cellIs" dxfId="407" priority="131" stopIfTrue="1" operator="equal">
      <formula>"N/D"</formula>
    </cfRule>
  </conditionalFormatting>
  <conditionalFormatting sqref="D1197:D1231">
    <cfRule type="cellIs" dxfId="406" priority="125" stopIfTrue="1" operator="equal">
      <formula>"-"</formula>
    </cfRule>
  </conditionalFormatting>
  <conditionalFormatting sqref="D1235:D1269">
    <cfRule type="expression" dxfId="405" priority="119" stopIfTrue="1">
      <formula>ISBLANK(D1235)</formula>
    </cfRule>
    <cfRule type="cellIs" dxfId="404" priority="120" stopIfTrue="1" operator="equal">
      <formula>"Pasa"</formula>
    </cfRule>
    <cfRule type="cellIs" dxfId="403" priority="121" stopIfTrue="1" operator="equal">
      <formula>"Falla"</formula>
    </cfRule>
    <cfRule type="cellIs" dxfId="402" priority="122" stopIfTrue="1" operator="equal">
      <formula>"N/A"</formula>
    </cfRule>
    <cfRule type="cellIs" dxfId="401" priority="123" stopIfTrue="1" operator="equal">
      <formula>"N/T"</formula>
    </cfRule>
    <cfRule type="cellIs" dxfId="400" priority="124" stopIfTrue="1" operator="equal">
      <formula>"N/D"</formula>
    </cfRule>
  </conditionalFormatting>
  <conditionalFormatting sqref="D1235:D1269">
    <cfRule type="cellIs" dxfId="399" priority="118" stopIfTrue="1" operator="equal">
      <formula>"-"</formula>
    </cfRule>
  </conditionalFormatting>
  <conditionalFormatting sqref="D1273:D1307">
    <cfRule type="expression" dxfId="398" priority="112" stopIfTrue="1">
      <formula>ISBLANK(D1273)</formula>
    </cfRule>
    <cfRule type="cellIs" dxfId="397" priority="113" stopIfTrue="1" operator="equal">
      <formula>"Pasa"</formula>
    </cfRule>
    <cfRule type="cellIs" dxfId="396" priority="114" stopIfTrue="1" operator="equal">
      <formula>"Falla"</formula>
    </cfRule>
    <cfRule type="cellIs" dxfId="395" priority="115" stopIfTrue="1" operator="equal">
      <formula>"N/A"</formula>
    </cfRule>
    <cfRule type="cellIs" dxfId="394" priority="116" stopIfTrue="1" operator="equal">
      <formula>"N/T"</formula>
    </cfRule>
    <cfRule type="cellIs" dxfId="393" priority="117" stopIfTrue="1" operator="equal">
      <formula>"N/D"</formula>
    </cfRule>
  </conditionalFormatting>
  <conditionalFormatting sqref="D1273:D1307">
    <cfRule type="cellIs" dxfId="392" priority="111" stopIfTrue="1" operator="equal">
      <formula>"-"</formula>
    </cfRule>
  </conditionalFormatting>
  <conditionalFormatting sqref="D1311:D1345">
    <cfRule type="expression" dxfId="391" priority="105" stopIfTrue="1">
      <formula>ISBLANK(D1311)</formula>
    </cfRule>
    <cfRule type="cellIs" dxfId="390" priority="106" stopIfTrue="1" operator="equal">
      <formula>"Pasa"</formula>
    </cfRule>
    <cfRule type="cellIs" dxfId="389" priority="107" stopIfTrue="1" operator="equal">
      <formula>"Falla"</formula>
    </cfRule>
    <cfRule type="cellIs" dxfId="388" priority="108" stopIfTrue="1" operator="equal">
      <formula>"N/A"</formula>
    </cfRule>
    <cfRule type="cellIs" dxfId="387" priority="109" stopIfTrue="1" operator="equal">
      <formula>"N/T"</formula>
    </cfRule>
    <cfRule type="cellIs" dxfId="386" priority="110" stopIfTrue="1" operator="equal">
      <formula>"N/D"</formula>
    </cfRule>
  </conditionalFormatting>
  <conditionalFormatting sqref="D1311:D1345">
    <cfRule type="cellIs" dxfId="385" priority="104" stopIfTrue="1" operator="equal">
      <formula>"-"</formula>
    </cfRule>
  </conditionalFormatting>
  <conditionalFormatting sqref="D1349:D1383">
    <cfRule type="expression" dxfId="384" priority="98" stopIfTrue="1">
      <formula>ISBLANK(D1349)</formula>
    </cfRule>
    <cfRule type="cellIs" dxfId="383" priority="99" stopIfTrue="1" operator="equal">
      <formula>"Pasa"</formula>
    </cfRule>
    <cfRule type="cellIs" dxfId="382" priority="100" stopIfTrue="1" operator="equal">
      <formula>"Falla"</formula>
    </cfRule>
    <cfRule type="cellIs" dxfId="381" priority="101" stopIfTrue="1" operator="equal">
      <formula>"N/A"</formula>
    </cfRule>
    <cfRule type="cellIs" dxfId="380" priority="102" stopIfTrue="1" operator="equal">
      <formula>"N/T"</formula>
    </cfRule>
    <cfRule type="cellIs" dxfId="379" priority="103" stopIfTrue="1" operator="equal">
      <formula>"N/D"</formula>
    </cfRule>
  </conditionalFormatting>
  <conditionalFormatting sqref="D1349:D1383">
    <cfRule type="cellIs" dxfId="378" priority="97" stopIfTrue="1" operator="equal">
      <formula>"-"</formula>
    </cfRule>
  </conditionalFormatting>
  <conditionalFormatting sqref="D1387:D1421">
    <cfRule type="expression" dxfId="377" priority="91" stopIfTrue="1">
      <formula>ISBLANK(D1387)</formula>
    </cfRule>
    <cfRule type="cellIs" dxfId="376" priority="92" stopIfTrue="1" operator="equal">
      <formula>"Pasa"</formula>
    </cfRule>
    <cfRule type="cellIs" dxfId="375" priority="93" stopIfTrue="1" operator="equal">
      <formula>"Falla"</formula>
    </cfRule>
    <cfRule type="cellIs" dxfId="374" priority="94" stopIfTrue="1" operator="equal">
      <formula>"N/A"</formula>
    </cfRule>
    <cfRule type="cellIs" dxfId="373" priority="95" stopIfTrue="1" operator="equal">
      <formula>"N/T"</formula>
    </cfRule>
    <cfRule type="cellIs" dxfId="372" priority="96" stopIfTrue="1" operator="equal">
      <formula>"N/D"</formula>
    </cfRule>
  </conditionalFormatting>
  <conditionalFormatting sqref="D1387:D1421">
    <cfRule type="cellIs" dxfId="371" priority="90" stopIfTrue="1" operator="equal">
      <formula>"-"</formula>
    </cfRule>
  </conditionalFormatting>
  <conditionalFormatting sqref="D1425:D1459">
    <cfRule type="expression" dxfId="370" priority="84" stopIfTrue="1">
      <formula>ISBLANK(D1425)</formula>
    </cfRule>
    <cfRule type="cellIs" dxfId="369" priority="85" stopIfTrue="1" operator="equal">
      <formula>"Pasa"</formula>
    </cfRule>
    <cfRule type="cellIs" dxfId="368" priority="86" stopIfTrue="1" operator="equal">
      <formula>"Falla"</formula>
    </cfRule>
    <cfRule type="cellIs" dxfId="367" priority="87" stopIfTrue="1" operator="equal">
      <formula>"N/A"</formula>
    </cfRule>
    <cfRule type="cellIs" dxfId="366" priority="88" stopIfTrue="1" operator="equal">
      <formula>"N/T"</formula>
    </cfRule>
    <cfRule type="cellIs" dxfId="365" priority="89" stopIfTrue="1" operator="equal">
      <formula>"N/D"</formula>
    </cfRule>
  </conditionalFormatting>
  <conditionalFormatting sqref="D1425:D1459">
    <cfRule type="cellIs" dxfId="364" priority="83" stopIfTrue="1" operator="equal">
      <formula>"-"</formula>
    </cfRule>
  </conditionalFormatting>
  <conditionalFormatting sqref="D1463:D1497">
    <cfRule type="expression" dxfId="363" priority="77" stopIfTrue="1">
      <formula>ISBLANK(D1463)</formula>
    </cfRule>
    <cfRule type="cellIs" dxfId="362" priority="78" stopIfTrue="1" operator="equal">
      <formula>"Pasa"</formula>
    </cfRule>
    <cfRule type="cellIs" dxfId="361" priority="79" stopIfTrue="1" operator="equal">
      <formula>"Falla"</formula>
    </cfRule>
    <cfRule type="cellIs" dxfId="360" priority="80" stopIfTrue="1" operator="equal">
      <formula>"N/A"</formula>
    </cfRule>
    <cfRule type="cellIs" dxfId="359" priority="81" stopIfTrue="1" operator="equal">
      <formula>"N/T"</formula>
    </cfRule>
    <cfRule type="cellIs" dxfId="358" priority="82" stopIfTrue="1" operator="equal">
      <formula>"N/D"</formula>
    </cfRule>
  </conditionalFormatting>
  <conditionalFormatting sqref="D1463:D1497">
    <cfRule type="cellIs" dxfId="357" priority="76" stopIfTrue="1" operator="equal">
      <formula>"-"</formula>
    </cfRule>
  </conditionalFormatting>
  <conditionalFormatting sqref="D1501:D1535">
    <cfRule type="expression" dxfId="356" priority="70" stopIfTrue="1">
      <formula>ISBLANK(D1501)</formula>
    </cfRule>
    <cfRule type="cellIs" dxfId="355" priority="71" stopIfTrue="1" operator="equal">
      <formula>"Pasa"</formula>
    </cfRule>
    <cfRule type="cellIs" dxfId="354" priority="72" stopIfTrue="1" operator="equal">
      <formula>"Falla"</formula>
    </cfRule>
    <cfRule type="cellIs" dxfId="353" priority="73" stopIfTrue="1" operator="equal">
      <formula>"N/A"</formula>
    </cfRule>
    <cfRule type="cellIs" dxfId="352" priority="74" stopIfTrue="1" operator="equal">
      <formula>"N/T"</formula>
    </cfRule>
    <cfRule type="cellIs" dxfId="351" priority="75" stopIfTrue="1" operator="equal">
      <formula>"N/D"</formula>
    </cfRule>
  </conditionalFormatting>
  <conditionalFormatting sqref="D1501:D1535">
    <cfRule type="cellIs" dxfId="350" priority="69" stopIfTrue="1" operator="equal">
      <formula>"-"</formula>
    </cfRule>
  </conditionalFormatting>
  <conditionalFormatting sqref="D1539:D1573">
    <cfRule type="expression" dxfId="349" priority="63" stopIfTrue="1">
      <formula>ISBLANK(D1539)</formula>
    </cfRule>
    <cfRule type="cellIs" dxfId="348" priority="64" stopIfTrue="1" operator="equal">
      <formula>"Pasa"</formula>
    </cfRule>
    <cfRule type="cellIs" dxfId="347" priority="65" stopIfTrue="1" operator="equal">
      <formula>"Falla"</formula>
    </cfRule>
    <cfRule type="cellIs" dxfId="346" priority="66" stopIfTrue="1" operator="equal">
      <formula>"N/A"</formula>
    </cfRule>
    <cfRule type="cellIs" dxfId="345" priority="67" stopIfTrue="1" operator="equal">
      <formula>"N/T"</formula>
    </cfRule>
    <cfRule type="cellIs" dxfId="344" priority="68" stopIfTrue="1" operator="equal">
      <formula>"N/D"</formula>
    </cfRule>
  </conditionalFormatting>
  <conditionalFormatting sqref="D1539:D1573">
    <cfRule type="cellIs" dxfId="343" priority="62" stopIfTrue="1" operator="equal">
      <formula>"-"</formula>
    </cfRule>
  </conditionalFormatting>
  <conditionalFormatting sqref="D1577:D1611">
    <cfRule type="expression" dxfId="342" priority="56" stopIfTrue="1">
      <formula>ISBLANK(D1577)</formula>
    </cfRule>
    <cfRule type="cellIs" dxfId="341" priority="57" stopIfTrue="1" operator="equal">
      <formula>"Pasa"</formula>
    </cfRule>
    <cfRule type="cellIs" dxfId="340" priority="58" stopIfTrue="1" operator="equal">
      <formula>"Falla"</formula>
    </cfRule>
    <cfRule type="cellIs" dxfId="339" priority="59" stopIfTrue="1" operator="equal">
      <formula>"N/A"</formula>
    </cfRule>
    <cfRule type="cellIs" dxfId="338" priority="60" stopIfTrue="1" operator="equal">
      <formula>"N/T"</formula>
    </cfRule>
    <cfRule type="cellIs" dxfId="337" priority="61" stopIfTrue="1" operator="equal">
      <formula>"N/D"</formula>
    </cfRule>
  </conditionalFormatting>
  <conditionalFormatting sqref="D1577:D1611">
    <cfRule type="cellIs" dxfId="336" priority="55" stopIfTrue="1" operator="equal">
      <formula>"-"</formula>
    </cfRule>
  </conditionalFormatting>
  <conditionalFormatting sqref="D1615:D1649">
    <cfRule type="expression" dxfId="335" priority="49" stopIfTrue="1">
      <formula>ISBLANK(D1615)</formula>
    </cfRule>
    <cfRule type="cellIs" dxfId="334" priority="50" stopIfTrue="1" operator="equal">
      <formula>"Pasa"</formula>
    </cfRule>
    <cfRule type="cellIs" dxfId="333" priority="51" stopIfTrue="1" operator="equal">
      <formula>"Falla"</formula>
    </cfRule>
    <cfRule type="cellIs" dxfId="332" priority="52" stopIfTrue="1" operator="equal">
      <formula>"N/A"</formula>
    </cfRule>
    <cfRule type="cellIs" dxfId="331" priority="53" stopIfTrue="1" operator="equal">
      <formula>"N/T"</formula>
    </cfRule>
    <cfRule type="cellIs" dxfId="330" priority="54" stopIfTrue="1" operator="equal">
      <formula>"N/D"</formula>
    </cfRule>
  </conditionalFormatting>
  <conditionalFormatting sqref="D1615:D1649">
    <cfRule type="cellIs" dxfId="329" priority="48" stopIfTrue="1" operator="equal">
      <formula>"-"</formula>
    </cfRule>
  </conditionalFormatting>
  <conditionalFormatting sqref="D1653:D1687">
    <cfRule type="expression" dxfId="328" priority="42" stopIfTrue="1">
      <formula>ISBLANK(D1653)</formula>
    </cfRule>
    <cfRule type="cellIs" dxfId="327" priority="43" stopIfTrue="1" operator="equal">
      <formula>"Pasa"</formula>
    </cfRule>
    <cfRule type="cellIs" dxfId="326" priority="44" stopIfTrue="1" operator="equal">
      <formula>"Falla"</formula>
    </cfRule>
    <cfRule type="cellIs" dxfId="325" priority="45" stopIfTrue="1" operator="equal">
      <formula>"N/A"</formula>
    </cfRule>
    <cfRule type="cellIs" dxfId="324" priority="46" stopIfTrue="1" operator="equal">
      <formula>"N/T"</formula>
    </cfRule>
    <cfRule type="cellIs" dxfId="323" priority="47" stopIfTrue="1" operator="equal">
      <formula>"N/D"</formula>
    </cfRule>
  </conditionalFormatting>
  <conditionalFormatting sqref="D1653:D1687">
    <cfRule type="cellIs" dxfId="322" priority="41" stopIfTrue="1" operator="equal">
      <formula>"-"</formula>
    </cfRule>
  </conditionalFormatting>
  <conditionalFormatting sqref="E1691:E1725">
    <cfRule type="cellIs" dxfId="321" priority="26" stopIfTrue="1" operator="equal">
      <formula>"ERR"</formula>
    </cfRule>
  </conditionalFormatting>
  <conditionalFormatting sqref="D1691:D1725">
    <cfRule type="expression" dxfId="320" priority="14" stopIfTrue="1">
      <formula>ISBLANK(D1691)</formula>
    </cfRule>
    <cfRule type="cellIs" dxfId="319" priority="15" stopIfTrue="1" operator="equal">
      <formula>"Pasa"</formula>
    </cfRule>
    <cfRule type="cellIs" dxfId="318" priority="16" stopIfTrue="1" operator="equal">
      <formula>"Falla"</formula>
    </cfRule>
    <cfRule type="cellIs" dxfId="317" priority="17" stopIfTrue="1" operator="equal">
      <formula>"N/A"</formula>
    </cfRule>
    <cfRule type="cellIs" dxfId="316" priority="18" stopIfTrue="1" operator="equal">
      <formula>"N/T"</formula>
    </cfRule>
    <cfRule type="cellIs" dxfId="315" priority="19" stopIfTrue="1" operator="equal">
      <formula>"N/D"</formula>
    </cfRule>
  </conditionalFormatting>
  <conditionalFormatting sqref="D1691:D1725">
    <cfRule type="cellIs" dxfId="314" priority="13" stopIfTrue="1" operator="equal">
      <formula>"-"</formula>
    </cfRule>
  </conditionalFormatting>
  <conditionalFormatting sqref="K23">
    <cfRule type="expression" dxfId="313" priority="7" stopIfTrue="1">
      <formula>ISBLANK(K23)</formula>
    </cfRule>
    <cfRule type="cellIs" dxfId="312" priority="8" stopIfTrue="1" operator="equal">
      <formula>"Pasa"</formula>
    </cfRule>
    <cfRule type="cellIs" dxfId="311" priority="9" stopIfTrue="1" operator="equal">
      <formula>"Falla"</formula>
    </cfRule>
    <cfRule type="cellIs" dxfId="310" priority="10" stopIfTrue="1" operator="equal">
      <formula>"N/A"</formula>
    </cfRule>
    <cfRule type="cellIs" dxfId="309" priority="11" stopIfTrue="1" operator="equal">
      <formula>"N/T"</formula>
    </cfRule>
    <cfRule type="cellIs" dxfId="308" priority="12" stopIfTrue="1" operator="equal">
      <formula>"N/D"</formula>
    </cfRule>
  </conditionalFormatting>
  <conditionalFormatting sqref="K24">
    <cfRule type="expression" dxfId="307" priority="1" stopIfTrue="1">
      <formula>ISBLANK(K24)</formula>
    </cfRule>
    <cfRule type="cellIs" dxfId="306" priority="2" stopIfTrue="1" operator="equal">
      <formula>"Pasa"</formula>
    </cfRule>
    <cfRule type="cellIs" dxfId="305" priority="3" stopIfTrue="1" operator="equal">
      <formula>"Falla"</formula>
    </cfRule>
    <cfRule type="cellIs" dxfId="304" priority="4" stopIfTrue="1" operator="equal">
      <formula>"N/A"</formula>
    </cfRule>
    <cfRule type="cellIs" dxfId="303" priority="5" stopIfTrue="1" operator="equal">
      <formula>"N/T"</formula>
    </cfRule>
    <cfRule type="cellIs" dxfId="302"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ICM</cp:lastModifiedBy>
  <cp:revision>109</cp:revision>
  <cp:lastPrinted>2020-09-14T10:56:43Z</cp:lastPrinted>
  <dcterms:created xsi:type="dcterms:W3CDTF">2020-03-26T13:14:48Z</dcterms:created>
  <dcterms:modified xsi:type="dcterms:W3CDTF">2023-01-25T12:30:50Z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ies>
</file>