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codeName="ThisWorkbook" defaultThemeVersion="124226"/>
  <mc:AlternateContent xmlns:mc="http://schemas.openxmlformats.org/markup-compatibility/2006">
    <mc:Choice Requires="x15">
      <x15ac:absPath xmlns:x15ac="http://schemas.microsoft.com/office/spreadsheetml/2010/11/ac" url="/Users/spereale/Downloads/"/>
    </mc:Choice>
  </mc:AlternateContent>
  <xr:revisionPtr revIDLastSave="0" documentId="8_{0C6BC306-4057-8C4A-A4E1-AF7464EF316E}" xr6:coauthVersionLast="47" xr6:coauthVersionMax="47" xr10:uidLastSave="{00000000-0000-0000-0000-000000000000}"/>
  <bookViews>
    <workbookView xWindow="27980" yWindow="-860" windowWidth="30800" windowHeight="18860" tabRatio="808" activeTab="1"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E1889" i="22"/>
  <c r="E1887" i="22"/>
  <c r="E1885" i="22"/>
  <c r="E1884" i="22"/>
  <c r="E1883" i="22"/>
  <c r="E1882" i="22"/>
  <c r="E1888" i="22" l="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CG20" i="9" l="1"/>
  <c r="DC3" i="19" s="1"/>
  <c r="D157" i="14"/>
  <c r="D224" i="5"/>
  <c r="D1165" i="21"/>
  <c r="D238" i="5"/>
  <c r="D1253" i="22"/>
  <c r="D228" i="5"/>
  <c r="D139" i="21"/>
  <c r="D304" i="15"/>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236" i="5"/>
  <c r="D240" i="5"/>
  <c r="D28" i="18"/>
  <c r="D32" i="18"/>
  <c r="D76" i="18"/>
  <c r="D127" i="18"/>
  <c r="T5" i="19"/>
  <c r="V5" i="19" s="1"/>
  <c r="T9" i="19"/>
  <c r="V9" i="19" s="1"/>
  <c r="CG42" i="9" a="1"/>
  <c r="CG42" i="9" s="1"/>
  <c r="DC25" i="19" s="1"/>
  <c r="T25" i="19"/>
  <c r="V25" i="19" s="1"/>
  <c r="T7" i="19"/>
  <c r="V7"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358" i="22"/>
  <c r="D1397" i="22"/>
  <c r="D1450" i="22"/>
  <c r="D1445" i="22"/>
  <c r="D28" i="21"/>
  <c r="D32" i="21"/>
  <c r="D585" i="21"/>
  <c r="D606" i="21"/>
  <c r="D618" i="21"/>
  <c r="D623" i="21"/>
  <c r="D722" i="21"/>
  <c r="D798" i="21"/>
  <c r="D918" i="21"/>
  <c r="D980" i="21"/>
  <c r="D1002" i="21"/>
  <c r="D1192" i="21"/>
  <c r="D1597" i="21"/>
  <c r="D1698" i="21"/>
  <c r="D196" i="5"/>
  <c r="D78" i="18"/>
  <c r="D83" i="18"/>
  <c r="D1792" i="22"/>
  <c r="D1047" i="21"/>
  <c r="D1369" i="21"/>
  <c r="D1373" i="21"/>
  <c r="D1377" i="21"/>
  <c r="D1382" i="21"/>
  <c r="D1408" i="21"/>
  <c r="D1456" i="21"/>
  <c r="D28" i="5"/>
  <c r="D47" i="5"/>
  <c r="D67" i="5"/>
  <c r="D89" i="5"/>
  <c r="D104" i="5"/>
  <c r="D108" i="5"/>
  <c r="D112" i="5"/>
  <c r="D143" i="5"/>
  <c r="D147" i="5"/>
  <c r="D151" i="5"/>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29" i="15"/>
  <c r="D52" i="15"/>
  <c r="D68" i="15"/>
  <c r="D113" i="15"/>
  <c r="D114" i="15"/>
  <c r="D203" i="15"/>
  <c r="D204" i="15"/>
  <c r="D205" i="15"/>
  <c r="D231" i="15"/>
  <c r="D104" i="13"/>
  <c r="D151" i="14"/>
  <c r="D143" i="14"/>
  <c r="D234" i="14"/>
  <c r="D490" i="14"/>
  <c r="D679" i="14"/>
  <c r="D44" i="15"/>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456" i="14"/>
  <c r="D71" i="15"/>
  <c r="D109" i="22"/>
  <c r="D83" i="13"/>
  <c r="D91"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5" i="15"/>
  <c r="D314" i="15"/>
  <c r="D345" i="15"/>
  <c r="D349" i="15"/>
  <c r="D355" i="15"/>
  <c r="D471" i="22"/>
  <c r="D489" i="22"/>
  <c r="D585" i="22"/>
  <c r="D581" i="22"/>
  <c r="D577" i="22"/>
  <c r="D573" i="22"/>
  <c r="D569" i="22"/>
  <c r="D656" i="22"/>
  <c r="D655" i="22"/>
  <c r="D647"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415" i="22"/>
  <c r="D1408" i="22"/>
  <c r="D1403" i="22"/>
  <c r="D1402" i="22"/>
  <c r="D1493" i="22"/>
  <c r="D922" i="22"/>
  <c r="D918" i="22"/>
  <c r="D914" i="22"/>
  <c r="D964" i="22"/>
  <c r="D960" i="22"/>
  <c r="D1183"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73" i="5"/>
  <c r="D79" i="5"/>
  <c r="D80" i="5"/>
  <c r="D88"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82" i="18"/>
  <c r="D186" i="18"/>
  <c r="D190" i="18"/>
  <c r="D194" i="18"/>
  <c r="D1517" i="21"/>
  <c r="D1524" i="21"/>
  <c r="D1525" i="21"/>
  <c r="D1533" i="21"/>
  <c r="D1541" i="21"/>
  <c r="D1545" i="21"/>
  <c r="D1549" i="21"/>
  <c r="D1553" i="21"/>
  <c r="D1559" i="21"/>
  <c r="D1589" i="21"/>
  <c r="D1596" i="21"/>
  <c r="D1624" i="21"/>
  <c r="D1630" i="21"/>
  <c r="D1631" i="21"/>
  <c r="D1632" i="21"/>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8" i="5"/>
  <c r="D82" i="5"/>
  <c r="D90" i="5"/>
  <c r="D106" i="5"/>
  <c r="D107" i="5"/>
  <c r="D115" i="5"/>
  <c r="D123" i="5"/>
  <c r="D220" i="5"/>
  <c r="D226" i="5"/>
  <c r="D234" i="5"/>
  <c r="D242" i="5"/>
  <c r="D184" i="15"/>
  <c r="D296" i="15"/>
  <c r="D31" i="15"/>
  <c r="D51" i="15"/>
  <c r="D87" i="15"/>
  <c r="D90" i="15"/>
  <c r="D119" i="15"/>
  <c r="D149" i="15"/>
  <c r="D165" i="15"/>
  <c r="D187" i="15"/>
  <c r="D191" i="15"/>
  <c r="D194" i="15"/>
  <c r="D263" i="15"/>
  <c r="D265" i="15"/>
  <c r="D273" i="15"/>
  <c r="D274" i="15"/>
  <c r="D280" i="15"/>
  <c r="D303" i="15"/>
  <c r="D309" i="15"/>
  <c r="D315" i="15"/>
  <c r="D340" i="15"/>
  <c r="D341" i="15"/>
  <c r="D346" i="15"/>
  <c r="D353" i="15"/>
  <c r="D41" i="22"/>
  <c r="D33" i="22"/>
  <c r="D36" i="13"/>
  <c r="D37" i="13"/>
  <c r="D38" i="13"/>
  <c r="D39" i="13"/>
  <c r="D40" i="13"/>
  <c r="D115" i="13"/>
  <c r="D116" i="13"/>
  <c r="D119" i="13"/>
  <c r="D120" i="13"/>
  <c r="D122" i="13"/>
  <c r="D49" i="14"/>
  <c r="D41" i="14"/>
  <c r="D33" i="14"/>
  <c r="D124" i="14"/>
  <c r="D116" i="14"/>
  <c r="D108" i="14"/>
  <c r="D163" i="14"/>
  <c r="D153" i="14"/>
  <c r="D147" i="14"/>
  <c r="D240" i="14"/>
  <c r="D279" i="14"/>
  <c r="D271" i="14"/>
  <c r="D263"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8" i="13"/>
  <c r="D72" i="13"/>
  <c r="D76" i="13"/>
  <c r="D80" i="13"/>
  <c r="D84" i="13"/>
  <c r="D88" i="13"/>
  <c r="D107" i="13"/>
  <c r="D111" i="13"/>
  <c r="D448" i="14"/>
  <c r="D502" i="14"/>
  <c r="D494" i="14"/>
  <c r="D576" i="14"/>
  <c r="D571" i="14"/>
  <c r="D619" i="14"/>
  <c r="D611" i="14"/>
  <c r="D603" i="14"/>
  <c r="D733" i="14"/>
  <c r="D28" i="15"/>
  <c r="D35" i="15"/>
  <c r="D37" i="15"/>
  <c r="D38" i="15"/>
  <c r="D42" i="15"/>
  <c r="D43" i="15"/>
  <c r="D82" i="15"/>
  <c r="D107" i="15"/>
  <c r="D123" i="15"/>
  <c r="D142" i="15"/>
  <c r="D153" i="15"/>
  <c r="D156" i="15"/>
  <c r="D157" i="15"/>
  <c r="D158" i="15"/>
  <c r="E172" i="15"/>
  <c r="D188" i="15"/>
  <c r="D192" i="15"/>
  <c r="D198" i="15"/>
  <c r="D201" i="15"/>
  <c r="D202" i="15"/>
  <c r="D223" i="15"/>
  <c r="D239" i="15"/>
  <c r="D257" i="15"/>
  <c r="D258" i="15"/>
  <c r="D260" i="15"/>
  <c r="D270" i="15"/>
  <c r="D277" i="15"/>
  <c r="D278" i="15"/>
  <c r="D299" i="15"/>
  <c r="D300" i="15"/>
  <c r="D305" i="15"/>
  <c r="D311" i="15"/>
  <c r="D312" i="15"/>
  <c r="D313" i="15"/>
  <c r="D319" i="15"/>
  <c r="D334" i="15"/>
  <c r="D335" i="15"/>
  <c r="D343" i="15"/>
  <c r="D344" i="15"/>
  <c r="D31" i="13"/>
  <c r="D32"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388" i="14"/>
  <c r="D427" i="14"/>
  <c r="D419" i="14"/>
  <c r="D487" i="14"/>
  <c r="D542" i="14"/>
  <c r="D541" i="14"/>
  <c r="D526" i="14"/>
  <c r="D583" i="14"/>
  <c r="D572" i="14"/>
  <c r="D567" i="14"/>
  <c r="D658" i="14"/>
  <c r="D650" i="14"/>
  <c r="D642" i="14"/>
  <c r="D33" i="15"/>
  <c r="D34" i="15"/>
  <c r="D36" i="15"/>
  <c r="D39" i="15"/>
  <c r="D40" i="15"/>
  <c r="D41" i="15"/>
  <c r="D45" i="15"/>
  <c r="D46" i="15"/>
  <c r="D74" i="15"/>
  <c r="D75" i="15"/>
  <c r="D76" i="15"/>
  <c r="D77" i="15"/>
  <c r="D79" i="15"/>
  <c r="D80" i="15"/>
  <c r="D81" i="15"/>
  <c r="D84" i="15"/>
  <c r="D85" i="15"/>
  <c r="D86" i="15"/>
  <c r="D112" i="15"/>
  <c r="D116" i="15"/>
  <c r="D117" i="15"/>
  <c r="D118" i="15"/>
  <c r="D128" i="15"/>
  <c r="D151" i="15"/>
  <c r="D181" i="15"/>
  <c r="D182" i="15"/>
  <c r="D183" i="15"/>
  <c r="D195"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62" i="22"/>
  <c r="D161" i="22"/>
  <c r="D154" i="22"/>
  <c r="D153" i="22"/>
  <c r="D146" i="22"/>
  <c r="D145" i="22"/>
  <c r="D203" i="22"/>
  <c r="D195" i="22"/>
  <c r="D187" i="22"/>
  <c r="D238" i="22"/>
  <c r="D230" i="22"/>
  <c r="D222" i="22"/>
  <c r="D357" i="22"/>
  <c r="D349" i="22"/>
  <c r="D341" i="22"/>
  <c r="D333" i="22"/>
  <c r="D459" i="22"/>
  <c r="D496" i="22"/>
  <c r="D488" i="22"/>
  <c r="D528" i="22"/>
  <c r="D34" i="22"/>
  <c r="D88" i="22"/>
  <c r="D80" i="22"/>
  <c r="D126" i="22"/>
  <c r="D316" i="22"/>
  <c r="D308" i="22"/>
  <c r="D300" i="22"/>
  <c r="D460" i="22"/>
  <c r="D452" i="22"/>
  <c r="D726" i="22"/>
  <c r="D765" i="22"/>
  <c r="D757" i="22"/>
  <c r="D884" i="22"/>
  <c r="D868" i="22"/>
  <c r="D925" i="22"/>
  <c r="D53" i="22"/>
  <c r="D45" i="22"/>
  <c r="D71" i="22"/>
  <c r="D120" i="22"/>
  <c r="D107" i="22"/>
  <c r="D199" i="22"/>
  <c r="D191" i="22"/>
  <c r="D241" i="22"/>
  <c r="D233" i="22"/>
  <c r="D225" i="22"/>
  <c r="D353" i="22"/>
  <c r="D345" i="22"/>
  <c r="D337" i="22"/>
  <c r="D465" i="22"/>
  <c r="D455" i="22"/>
  <c r="D491" i="22"/>
  <c r="D562" i="22"/>
  <c r="D621" i="22"/>
  <c r="D613" i="22"/>
  <c r="D605" i="22"/>
  <c r="D768" i="22"/>
  <c r="D795" i="22"/>
  <c r="D1284" i="22"/>
  <c r="D1339" i="22"/>
  <c r="D1483" i="22"/>
  <c r="D1566" i="22"/>
  <c r="D1558" i="22"/>
  <c r="D1687" i="22"/>
  <c r="D1672" i="22"/>
  <c r="D1758" i="22"/>
  <c r="D1798" i="22"/>
  <c r="D1875" i="22"/>
  <c r="D1859" i="22"/>
  <c r="D26" i="21"/>
  <c r="D27" i="21"/>
  <c r="D33" i="21"/>
  <c r="D40" i="21"/>
  <c r="D43" i="21"/>
  <c r="D45" i="21"/>
  <c r="D58" i="21"/>
  <c r="D956" i="22"/>
  <c r="D955" i="22"/>
  <c r="D997" i="22"/>
  <c r="D985" i="22"/>
  <c r="D1040" i="22"/>
  <c r="D1024" i="22"/>
  <c r="D1058" i="22"/>
  <c r="D1114" i="22"/>
  <c r="D1113" i="22"/>
  <c r="D1154" i="22"/>
  <c r="D1146" i="22"/>
  <c r="D1138" i="22"/>
  <c r="D1130" i="22"/>
  <c r="D1192" i="22"/>
  <c r="D1184" i="22"/>
  <c r="D1176" i="22"/>
  <c r="D1168" i="22"/>
  <c r="D1414" i="22"/>
  <c r="D1398" i="22"/>
  <c r="D1437"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64" i="22"/>
  <c r="D1419" i="22"/>
  <c r="D1416" i="22"/>
  <c r="D1405" i="22"/>
  <c r="D1570" i="22"/>
  <c r="D1562" i="22"/>
  <c r="D1552" i="22"/>
  <c r="D1647" i="22"/>
  <c r="D1639" i="22"/>
  <c r="D1631" i="22"/>
  <c r="D1682" i="22"/>
  <c r="D1664" i="22"/>
  <c r="D1743" i="22"/>
  <c r="D1787"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87" i="5"/>
  <c r="D195" i="5"/>
  <c r="D1480" i="21"/>
  <c r="D1641" i="21"/>
  <c r="D1649" i="21"/>
  <c r="D1655" i="21"/>
  <c r="D1663" i="21"/>
  <c r="D1667" i="21"/>
  <c r="D1673" i="21"/>
  <c r="D1678" i="21"/>
  <c r="D1683" i="21"/>
  <c r="D1692" i="21"/>
  <c r="D1694" i="21"/>
  <c r="D1703" i="21"/>
  <c r="D1706" i="21"/>
  <c r="D1712" i="21"/>
  <c r="D1715" i="21"/>
  <c r="D1724" i="21"/>
  <c r="D37" i="5"/>
  <c r="D40" i="5"/>
  <c r="D43" i="5"/>
  <c r="D53" i="5"/>
  <c r="D74" i="5"/>
  <c r="D105" i="5"/>
  <c r="D113" i="5"/>
  <c r="D121" i="5"/>
  <c r="D129" i="5"/>
  <c r="D149" i="5"/>
  <c r="D150" i="5"/>
  <c r="D156" i="5"/>
  <c r="D157" i="5"/>
  <c r="D160" i="5"/>
  <c r="D164"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8" i="5"/>
  <c r="D36" i="18"/>
  <c r="D39" i="18"/>
  <c r="D42" i="18"/>
  <c r="D52" i="18"/>
  <c r="D71" i="18"/>
  <c r="D74" i="18"/>
  <c r="D77" i="18"/>
  <c r="D87" i="18"/>
  <c r="D90" i="18"/>
  <c r="D108" i="18"/>
  <c r="D111" i="18"/>
  <c r="D115"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32" i="15"/>
  <c r="D281" i="15"/>
  <c r="D316" i="15"/>
  <c r="D469" i="14"/>
  <c r="D486" i="14"/>
  <c r="D532" i="14"/>
  <c r="D582" i="14"/>
  <c r="D578" i="14"/>
  <c r="D574" i="14"/>
  <c r="D570"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127" i="14"/>
  <c r="D123" i="14"/>
  <c r="D119" i="14"/>
  <c r="D115" i="14"/>
  <c r="D111" i="14"/>
  <c r="D107" i="14"/>
  <c r="D105" i="14"/>
  <c r="D198" i="14"/>
  <c r="D190" i="14"/>
  <c r="D182" i="14"/>
  <c r="D233" i="14"/>
  <c r="D224" i="14"/>
  <c r="D278" i="14"/>
  <c r="D270" i="14"/>
  <c r="D262" i="14"/>
  <c r="D357" i="14"/>
  <c r="D354" i="14"/>
  <c r="D353" i="14"/>
  <c r="D350" i="14"/>
  <c r="D349" i="14"/>
  <c r="D346" i="14"/>
  <c r="D345" i="14"/>
  <c r="D342" i="14"/>
  <c r="D341" i="14"/>
  <c r="D338" i="14"/>
  <c r="D337" i="14"/>
  <c r="D334" i="14"/>
  <c r="D333" i="14"/>
  <c r="D385" i="14"/>
  <c r="D381" i="14"/>
  <c r="D468" i="14"/>
  <c r="D460" i="14"/>
  <c r="D452" i="14"/>
  <c r="D545" i="14"/>
  <c r="D537" i="14"/>
  <c r="D529" i="14"/>
  <c r="D621" i="14"/>
  <c r="D613" i="14"/>
  <c r="D605" i="14"/>
  <c r="D685" i="14"/>
  <c r="D677" i="14"/>
  <c r="D675" i="14"/>
  <c r="D735" i="14"/>
  <c r="D726" i="14"/>
  <c r="D718"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203" i="14"/>
  <c r="D195" i="14"/>
  <c r="D187" i="14"/>
  <c r="D232" i="14"/>
  <c r="D229" i="14"/>
  <c r="D221" i="14"/>
  <c r="D275" i="14"/>
  <c r="D267" i="14"/>
  <c r="D259" i="14"/>
  <c r="D391" i="14"/>
  <c r="D384" i="14"/>
  <c r="D380" i="14"/>
  <c r="D377" i="14"/>
  <c r="D413" i="14"/>
  <c r="D465" i="14"/>
  <c r="D457" i="14"/>
  <c r="D449" i="14"/>
  <c r="D544" i="14"/>
  <c r="D536" i="14"/>
  <c r="D528" i="14"/>
  <c r="D620" i="14"/>
  <c r="D612" i="14"/>
  <c r="D604"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202" i="14"/>
  <c r="D194" i="14"/>
  <c r="D186" i="14"/>
  <c r="D228" i="14"/>
  <c r="D220" i="14"/>
  <c r="D274" i="14"/>
  <c r="D266" i="14"/>
  <c r="D258" i="14"/>
  <c r="D319" i="14"/>
  <c r="D316" i="14"/>
  <c r="D315" i="14"/>
  <c r="D312" i="14"/>
  <c r="D311" i="14"/>
  <c r="D308" i="14"/>
  <c r="D307" i="14"/>
  <c r="D304" i="14"/>
  <c r="D303" i="14"/>
  <c r="D300" i="14"/>
  <c r="D299" i="14"/>
  <c r="D296" i="14"/>
  <c r="D295" i="14"/>
  <c r="D392" i="14"/>
  <c r="D376" i="14"/>
  <c r="D430" i="14"/>
  <c r="D426" i="14"/>
  <c r="D422" i="14"/>
  <c r="D418" i="14"/>
  <c r="D414" i="14"/>
  <c r="D464" i="14"/>
  <c r="D525" i="14"/>
  <c r="D617" i="14"/>
  <c r="D609" i="14"/>
  <c r="D601" i="14"/>
  <c r="D637" i="14"/>
  <c r="D681" i="14"/>
  <c r="D730" i="14"/>
  <c r="D722" i="14"/>
  <c r="D714" i="14"/>
  <c r="D1420" i="22"/>
  <c r="D46" i="21"/>
  <c r="D59" i="21"/>
  <c r="D145" i="21"/>
  <c r="D161" i="21"/>
  <c r="D180" i="21"/>
  <c r="D39" i="22"/>
  <c r="D31" i="22"/>
  <c r="D85" i="22"/>
  <c r="D77" i="22"/>
  <c r="D122" i="22"/>
  <c r="D114" i="22"/>
  <c r="D113" i="22"/>
  <c r="D111" i="22"/>
  <c r="D160" i="22"/>
  <c r="D152" i="22"/>
  <c r="D144" i="22"/>
  <c r="D202" i="22"/>
  <c r="D198" i="22"/>
  <c r="D194" i="22"/>
  <c r="D190" i="22"/>
  <c r="D186" i="22"/>
  <c r="D240" i="22"/>
  <c r="D232" i="22"/>
  <c r="D224" i="22"/>
  <c r="D313" i="22"/>
  <c r="D305" i="22"/>
  <c r="D297" i="22"/>
  <c r="D395" i="22"/>
  <c r="D392" i="22"/>
  <c r="D391" i="22"/>
  <c r="D388" i="22"/>
  <c r="D387" i="22"/>
  <c r="D384" i="22"/>
  <c r="D383" i="22"/>
  <c r="D380" i="22"/>
  <c r="D379" i="22"/>
  <c r="D376" i="22"/>
  <c r="D431" i="22"/>
  <c r="D427" i="22"/>
  <c r="D423" i="22"/>
  <c r="D419" i="22"/>
  <c r="D415" i="22"/>
  <c r="D411" i="22"/>
  <c r="D469" i="22"/>
  <c r="D449" i="22"/>
  <c r="D509" i="22"/>
  <c r="D506" i="22"/>
  <c r="D505" i="22"/>
  <c r="D502" i="22"/>
  <c r="D501" i="22"/>
  <c r="D498" i="22"/>
  <c r="D490" i="22"/>
  <c r="D525" i="22"/>
  <c r="D620" i="22"/>
  <c r="D612" i="22"/>
  <c r="D604" i="22"/>
  <c r="D654" i="22"/>
  <c r="D646" i="22"/>
  <c r="D638" i="22"/>
  <c r="D692" i="22"/>
  <c r="D684" i="22"/>
  <c r="D676" i="22"/>
  <c r="D730" i="22"/>
  <c r="D722" i="22"/>
  <c r="D714" i="22"/>
  <c r="D772" i="22"/>
  <c r="D811" i="22"/>
  <c r="D809" i="22"/>
  <c r="D799" i="22"/>
  <c r="D791" i="22"/>
  <c r="D887" i="22"/>
  <c r="D879" i="22"/>
  <c r="D871"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95" i="22"/>
  <c r="D1289" i="22"/>
  <c r="D1338" i="22"/>
  <c r="D1334" i="22"/>
  <c r="D1330" i="22"/>
  <c r="D1326" i="22"/>
  <c r="D1322" i="22"/>
  <c r="D1360" i="22"/>
  <c r="D1436" i="22"/>
  <c r="D1490" i="22"/>
  <c r="D1482" i="22"/>
  <c r="D1532" i="22"/>
  <c r="D1528" i="22"/>
  <c r="D1524" i="22"/>
  <c r="D1520" i="22"/>
  <c r="D1517" i="22"/>
  <c r="D1555" i="22"/>
  <c r="D1588" i="22"/>
  <c r="D1646" i="22"/>
  <c r="D1642" i="22"/>
  <c r="D1638" i="22"/>
  <c r="D1634" i="22"/>
  <c r="D1630" i="22"/>
  <c r="D1626" i="22"/>
  <c r="D1677" i="22"/>
  <c r="D1669" i="22"/>
  <c r="D1756" i="22"/>
  <c r="D1745" i="22"/>
  <c r="D1790" i="22"/>
  <c r="D1789" i="22"/>
  <c r="D1786" i="22"/>
  <c r="D1785" i="22"/>
  <c r="D1782" i="22"/>
  <c r="D1781" i="22"/>
  <c r="D1779" i="22"/>
  <c r="D1838" i="22"/>
  <c r="D1837" i="22"/>
  <c r="D1834" i="22"/>
  <c r="D1833" i="22"/>
  <c r="D1830" i="22"/>
  <c r="D1829" i="22"/>
  <c r="D1826" i="22"/>
  <c r="D1825" i="22"/>
  <c r="D1822" i="22"/>
  <c r="D1821" i="22"/>
  <c r="D1818" i="22"/>
  <c r="D1817" i="22"/>
  <c r="D1814" i="22"/>
  <c r="D1874" i="22"/>
  <c r="D1872" i="22"/>
  <c r="D1866" i="22"/>
  <c r="D1858" i="22"/>
  <c r="D38" i="22"/>
  <c r="D30" i="22"/>
  <c r="D84" i="22"/>
  <c r="D76" i="22"/>
  <c r="D72" i="22"/>
  <c r="D68" i="22"/>
  <c r="D119" i="22"/>
  <c r="D110" i="22"/>
  <c r="D163" i="22"/>
  <c r="D157" i="22"/>
  <c r="D149" i="22"/>
  <c r="D183" i="22"/>
  <c r="D237" i="22"/>
  <c r="D229" i="22"/>
  <c r="D221" i="22"/>
  <c r="D312" i="22"/>
  <c r="D304" i="22"/>
  <c r="D296" i="22"/>
  <c r="D354" i="22"/>
  <c r="D350" i="22"/>
  <c r="D346" i="22"/>
  <c r="D342" i="22"/>
  <c r="D338" i="22"/>
  <c r="D334" i="22"/>
  <c r="D373" i="22"/>
  <c r="D430" i="22"/>
  <c r="D426" i="22"/>
  <c r="D422" i="22"/>
  <c r="D418" i="22"/>
  <c r="D414" i="22"/>
  <c r="D410" i="22"/>
  <c r="D468" i="22"/>
  <c r="D448" i="22"/>
  <c r="D495" i="22"/>
  <c r="D487" i="22"/>
  <c r="D531" i="22"/>
  <c r="D524" i="22"/>
  <c r="D582" i="22"/>
  <c r="D578" i="22"/>
  <c r="D574" i="22"/>
  <c r="D570" i="22"/>
  <c r="D566" i="22"/>
  <c r="D617" i="22"/>
  <c r="D609" i="22"/>
  <c r="D600" i="22"/>
  <c r="D659" i="22"/>
  <c r="D651" i="22"/>
  <c r="D643" i="22"/>
  <c r="D697" i="22"/>
  <c r="D689" i="22"/>
  <c r="D681" i="22"/>
  <c r="D735" i="22"/>
  <c r="D727" i="22"/>
  <c r="D719" i="22"/>
  <c r="D769" i="22"/>
  <c r="D810" i="22"/>
  <c r="D798" i="22"/>
  <c r="D790" i="22"/>
  <c r="D851" i="22"/>
  <c r="D848" i="22"/>
  <c r="D847" i="22"/>
  <c r="D844" i="22"/>
  <c r="D843" i="22"/>
  <c r="D840" i="22"/>
  <c r="D839" i="22"/>
  <c r="D836" i="22"/>
  <c r="D835" i="22"/>
  <c r="D832" i="22"/>
  <c r="D831" i="22"/>
  <c r="D828" i="22"/>
  <c r="D827" i="22"/>
  <c r="D886" i="22"/>
  <c r="D878" i="22"/>
  <c r="D870" i="22"/>
  <c r="D1001" i="22"/>
  <c r="D988" i="22"/>
  <c r="D1038" i="22"/>
  <c r="D1034" i="22"/>
  <c r="D1030" i="22"/>
  <c r="D1026" i="22"/>
  <c r="D1022" i="22"/>
  <c r="D1018" i="22"/>
  <c r="D1064" i="22"/>
  <c r="D1060" i="22"/>
  <c r="D1056" i="22"/>
  <c r="D1111" i="22"/>
  <c r="D1095" i="22"/>
  <c r="D1228" i="22"/>
  <c r="D1220" i="22"/>
  <c r="D1216" i="22"/>
  <c r="D1212" i="22"/>
  <c r="D1304" i="22"/>
  <c r="D1300" i="22"/>
  <c r="D1296" i="22"/>
  <c r="D1288" i="22"/>
  <c r="D1418" i="22"/>
  <c r="D1410" i="22"/>
  <c r="D1439" i="22"/>
  <c r="D1495" i="22"/>
  <c r="D1487" i="22"/>
  <c r="D1478" i="22"/>
  <c r="D1474" i="22"/>
  <c r="D1516" i="22"/>
  <c r="D1515" i="22"/>
  <c r="D1514" i="22"/>
  <c r="D1554" i="22"/>
  <c r="D1551" i="22"/>
  <c r="D1610" i="22"/>
  <c r="D1609" i="22"/>
  <c r="D1606" i="22"/>
  <c r="D1605" i="22"/>
  <c r="D1602" i="22"/>
  <c r="D1601" i="22"/>
  <c r="D1598" i="22"/>
  <c r="D1597" i="22"/>
  <c r="D1594" i="22"/>
  <c r="D1593" i="22"/>
  <c r="D1684" i="22"/>
  <c r="D1676" i="22"/>
  <c r="D1674" i="22"/>
  <c r="D1668" i="22"/>
  <c r="D1667" i="22"/>
  <c r="D1666" i="22"/>
  <c r="D1761" i="22"/>
  <c r="D1753" i="22"/>
  <c r="D1751" i="22"/>
  <c r="D1744" i="22"/>
  <c r="D1778" i="22"/>
  <c r="D1839" i="22"/>
  <c r="D1836" i="22"/>
  <c r="D1835" i="22"/>
  <c r="D1832" i="22"/>
  <c r="D1831" i="22"/>
  <c r="D1828" i="22"/>
  <c r="D1827" i="22"/>
  <c r="D1824" i="22"/>
  <c r="D1823" i="22"/>
  <c r="D1820" i="22"/>
  <c r="D1819" i="22"/>
  <c r="D1816" i="22"/>
  <c r="D1815"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89" i="22"/>
  <c r="D81" i="22"/>
  <c r="D125" i="22"/>
  <c r="D118" i="22"/>
  <c r="D106" i="22"/>
  <c r="D167" i="22"/>
  <c r="D164" i="22"/>
  <c r="D156" i="22"/>
  <c r="D148" i="22"/>
  <c r="D182" i="22"/>
  <c r="D236" i="22"/>
  <c r="D228" i="22"/>
  <c r="D220" i="22"/>
  <c r="D281" i="22"/>
  <c r="D278" i="22"/>
  <c r="D277" i="22"/>
  <c r="D274" i="22"/>
  <c r="D273" i="22"/>
  <c r="D270" i="22"/>
  <c r="D269" i="22"/>
  <c r="D266" i="22"/>
  <c r="D265" i="22"/>
  <c r="D262" i="22"/>
  <c r="D261" i="22"/>
  <c r="D258" i="22"/>
  <c r="D317" i="22"/>
  <c r="D309" i="22"/>
  <c r="D301" i="22"/>
  <c r="D372" i="22"/>
  <c r="D464" i="22"/>
  <c r="D463" i="22"/>
  <c r="D461" i="22"/>
  <c r="D457" i="22"/>
  <c r="D453" i="22"/>
  <c r="D451" i="22"/>
  <c r="D494" i="22"/>
  <c r="D486" i="22"/>
  <c r="D544" i="22"/>
  <c r="D540" i="22"/>
  <c r="D536" i="22"/>
  <c r="D532" i="22"/>
  <c r="D563" i="22"/>
  <c r="D616" i="22"/>
  <c r="D608" i="22"/>
  <c r="D658" i="22"/>
  <c r="D650" i="22"/>
  <c r="D642" i="22"/>
  <c r="D696" i="22"/>
  <c r="D688" i="22"/>
  <c r="D680" i="22"/>
  <c r="D883" i="22"/>
  <c r="D875" i="22"/>
  <c r="D867" i="22"/>
  <c r="D1107"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94" i="22"/>
  <c r="D1486" i="22"/>
  <c r="D1513" i="22"/>
  <c r="D1550" i="22"/>
  <c r="D1608" i="22"/>
  <c r="D1604" i="22"/>
  <c r="D1600" i="22"/>
  <c r="D1596" i="22"/>
  <c r="D1592" i="22"/>
  <c r="D1681" i="22"/>
  <c r="D1673" i="22"/>
  <c r="D1665" i="22"/>
  <c r="D1725" i="22"/>
  <c r="D1722" i="22"/>
  <c r="D1721" i="22"/>
  <c r="D1718" i="22"/>
  <c r="D1717" i="22"/>
  <c r="D1714" i="22"/>
  <c r="D1713" i="22"/>
  <c r="D1710" i="22"/>
  <c r="D1706" i="22"/>
  <c r="D1702" i="22"/>
  <c r="D1760" i="22"/>
  <c r="D1752" i="22"/>
  <c r="D1741" i="22"/>
  <c r="D1793"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882" i="22"/>
  <c r="D874" i="22"/>
  <c r="D866" i="22"/>
  <c r="D924" i="22"/>
  <c r="D920" i="22"/>
  <c r="D916" i="22"/>
  <c r="D912" i="22"/>
  <c r="D908" i="22"/>
  <c r="D905" i="22"/>
  <c r="D996" i="22"/>
  <c r="D992" i="22"/>
  <c r="D984" i="22"/>
  <c r="D980" i="22"/>
  <c r="D1076" i="22"/>
  <c r="D1112" i="22"/>
  <c r="D1106" i="22"/>
  <c r="D1103" i="22"/>
  <c r="D1096" i="22"/>
  <c r="D1152" i="22"/>
  <c r="D1148" i="22"/>
  <c r="D1144" i="22"/>
  <c r="D1140" i="22"/>
  <c r="D1136" i="22"/>
  <c r="D1132" i="22"/>
  <c r="D1190" i="22"/>
  <c r="D1186" i="22"/>
  <c r="D1182" i="22"/>
  <c r="D1178" i="22"/>
  <c r="D1174" i="22"/>
  <c r="D1170" i="22"/>
  <c r="D1224" i="22"/>
  <c r="D1208" i="22"/>
  <c r="D1266" i="22"/>
  <c r="D1262" i="22"/>
  <c r="D1258" i="22"/>
  <c r="D1254" i="22"/>
  <c r="D1250" i="22"/>
  <c r="D1246" i="22"/>
  <c r="D1589" i="22"/>
  <c r="D1680" i="22"/>
  <c r="D1757" i="22"/>
  <c r="D1748" i="22"/>
  <c r="D1740"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11" i="5"/>
  <c r="D119" i="5"/>
  <c r="D127" i="5"/>
  <c r="D148" i="5"/>
  <c r="D155" i="5"/>
  <c r="D47" i="18"/>
  <c r="D66" i="18"/>
  <c r="D82" i="18"/>
  <c r="D1671" i="21"/>
  <c r="D1679" i="21"/>
  <c r="D1687" i="21"/>
  <c r="D32" i="5"/>
  <c r="D33" i="18"/>
  <c r="D41" i="18"/>
  <c r="D49" i="18"/>
  <c r="D105" i="18"/>
  <c r="D113" i="18"/>
  <c r="D114" i="18"/>
  <c r="D129" i="18"/>
  <c r="D145" i="18"/>
  <c r="D153" i="18"/>
  <c r="D161" i="18"/>
  <c r="D180" i="18"/>
  <c r="D188" i="18"/>
  <c r="D196" i="18"/>
  <c r="D148" i="18"/>
  <c r="D156" i="18"/>
  <c r="D164" i="18"/>
  <c r="D183" i="18"/>
  <c r="D191" i="18"/>
  <c r="D199" i="18"/>
  <c r="D200" i="18"/>
  <c r="D192" i="18"/>
  <c r="D203" i="18"/>
  <c r="D204" i="18"/>
  <c r="D29" i="18"/>
  <c r="D30" i="18"/>
  <c r="D118" i="18"/>
  <c r="D122" i="18"/>
  <c r="D126" i="18"/>
  <c r="D144" i="18"/>
  <c r="D152" i="18"/>
  <c r="D160"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78" i="22"/>
  <c r="D1074" i="22"/>
  <c r="D1079" i="22"/>
  <c r="D1077" i="22"/>
  <c r="D1075" i="22"/>
  <c r="D1073" i="22"/>
  <c r="D1070" i="22"/>
  <c r="D1066" i="22"/>
  <c r="D1041" i="22"/>
  <c r="D1037" i="22"/>
  <c r="D1033" i="22"/>
  <c r="D1029" i="22"/>
  <c r="D1025" i="22"/>
  <c r="D1021" i="22"/>
  <c r="D1016"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33" i="22"/>
  <c r="D429" i="22"/>
  <c r="D425" i="22"/>
  <c r="D421" i="22"/>
  <c r="D417" i="22"/>
  <c r="D413" i="22"/>
  <c r="D409" i="22"/>
  <c r="D371" i="22"/>
  <c r="D370" i="22"/>
  <c r="D356" i="22"/>
  <c r="D355" i="22"/>
  <c r="D352" i="22"/>
  <c r="D351" i="22"/>
  <c r="D348" i="22"/>
  <c r="D347" i="22"/>
  <c r="D344" i="22"/>
  <c r="D343" i="22"/>
  <c r="D340" i="22"/>
  <c r="D339" i="22"/>
  <c r="D336" i="22"/>
  <c r="D335" i="22"/>
  <c r="D332"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U22" i="9" a="1"/>
  <c r="CE22" i="9" a="1"/>
  <c r="AO21" i="9" a="1"/>
  <c r="CR21" i="9" a="1"/>
  <c r="BV24" i="9" a="1"/>
  <c r="AS23" i="9" a="1"/>
  <c r="L27" i="9" a="1"/>
  <c r="J23" i="9" a="1"/>
  <c r="CR24" i="9" a="1"/>
  <c r="AF28" i="9" a="1"/>
  <c r="Z28" i="9" a="1"/>
  <c r="J28" i="9" a="1"/>
  <c r="BT24" i="9" a="1"/>
  <c r="BO28" i="9" a="1"/>
  <c r="BI26" i="9" a="1"/>
  <c r="AY22" i="9" a="1"/>
  <c r="AS27" i="9" a="1"/>
  <c r="AQ26" i="9" a="1"/>
  <c r="CC26" i="9" a="1"/>
  <c r="BL25" i="9" a="1"/>
  <c r="T25" i="9" a="1"/>
  <c r="AR24" i="9" a="1"/>
  <c r="BW20" i="9" a="1"/>
  <c r="M22" i="9" a="1"/>
  <c r="BT27" i="9" a="1"/>
  <c r="CH22" i="9" a="1"/>
  <c r="BW21" i="9" a="1"/>
  <c r="K22" i="9" a="1"/>
  <c r="BM26" i="9" a="1"/>
  <c r="CH26" i="9" a="1"/>
  <c r="AD26" i="9" a="1"/>
  <c r="V25" i="9" a="1"/>
  <c r="BC24" i="9" a="1"/>
  <c r="Q27" i="9" a="1"/>
  <c r="K286" i="22"/>
  <c r="BP24" i="9" a="1"/>
  <c r="AQ28" i="9" a="1"/>
  <c r="H27" i="9" a="1"/>
  <c r="K20" i="15"/>
  <c r="CC20" i="9" a="1"/>
  <c r="BS24" i="9" a="1"/>
  <c r="J26" i="9" a="1"/>
  <c r="BP22" i="9" a="1"/>
  <c r="AE22" i="9" a="1"/>
  <c r="AQ25" i="9" a="1"/>
  <c r="BR28" i="9" a="1"/>
  <c r="J22" i="9" a="1"/>
  <c r="BM22" i="9" a="1"/>
  <c r="S25" i="9" a="1"/>
  <c r="X26" i="9" a="1"/>
  <c r="AQ24" i="9" a="1"/>
  <c r="K58" i="14"/>
  <c r="BA23" i="9" a="1"/>
  <c r="AC27" i="9" a="1"/>
  <c r="CB27" i="9" a="1"/>
  <c r="CP24" i="9" a="1"/>
  <c r="CM23" i="9" a="1"/>
  <c r="T23" i="9" a="1"/>
  <c r="AE23" i="9" a="1"/>
  <c r="F26" i="9" a="1"/>
  <c r="K134" i="18"/>
  <c r="BE27" i="9" a="1"/>
  <c r="BY27" i="9" a="1"/>
  <c r="N26" i="9" a="1"/>
  <c r="K20" i="13"/>
  <c r="K1236" i="22"/>
  <c r="BD20" i="9" a="1"/>
  <c r="K324" i="14"/>
  <c r="AD24" i="9" a="1"/>
  <c r="AZ27" i="9" a="1"/>
  <c r="CH27" i="9" a="1"/>
  <c r="AT27" i="9" a="1"/>
  <c r="CK26" i="9" a="1"/>
  <c r="BE20" i="9" a="1"/>
  <c r="CC22" i="9" a="1"/>
  <c r="G21" i="9" a="1"/>
  <c r="BA28" i="9" a="1"/>
  <c r="BS25" i="9" a="1"/>
  <c r="H22" i="9" a="1"/>
  <c r="AI22" i="9" a="1"/>
  <c r="BI23" i="9" a="1"/>
  <c r="AR26" i="9" a="1"/>
  <c r="E22" i="9" a="1"/>
  <c r="P22" i="9" a="1"/>
  <c r="CN22" i="9" a="1"/>
  <c r="BT21" i="9" a="1"/>
  <c r="W21" i="9" a="1"/>
  <c r="K1274" i="22"/>
  <c r="L20" i="9" a="1"/>
  <c r="CA23" i="9" a="1"/>
  <c r="P27" i="9" a="1"/>
  <c r="P26" i="9" a="1"/>
  <c r="BL24" i="9" a="1"/>
  <c r="E24" i="9" a="1"/>
  <c r="U27" i="9" a="1"/>
  <c r="BL27" i="9" a="1"/>
  <c r="AJ27" i="9" a="1"/>
  <c r="CQ21" i="9" a="1"/>
  <c r="K210" i="5"/>
  <c r="CQ20" i="9" a="1"/>
  <c r="K324" i="22"/>
  <c r="AR23" i="9" a="1"/>
  <c r="CJ20" i="9" a="1"/>
  <c r="BH25" i="9" a="1"/>
  <c r="W28" i="9" a="1"/>
  <c r="BY22" i="9" a="1"/>
  <c r="BZ27" i="9" a="1"/>
  <c r="BA26" i="9" a="1"/>
  <c r="CK25" i="9" a="1"/>
  <c r="BN25" i="9" a="1"/>
  <c r="BZ24" i="9" a="1"/>
  <c r="CC28" i="9" a="1"/>
  <c r="BN22" i="9" a="1"/>
  <c r="BH20" i="9" a="1"/>
  <c r="AW20" i="9" a="1"/>
  <c r="AL27" i="9" a="1"/>
  <c r="BE22" i="9" a="1"/>
  <c r="Y20" i="9" a="1"/>
  <c r="X21" i="9" a="1"/>
  <c r="CM27" i="9" a="1"/>
  <c r="J25" i="9" a="1"/>
  <c r="AT28" i="9" a="1"/>
  <c r="AT22" i="9" a="1"/>
  <c r="AR21" i="9" a="1"/>
  <c r="BV20" i="9" a="1"/>
  <c r="BT25" i="9" a="1"/>
  <c r="K24" i="9" a="1"/>
  <c r="CF26" i="9" a="1"/>
  <c r="AY21" i="9" a="1"/>
  <c r="BO24" i="9" a="1"/>
  <c r="CD24" i="9" a="1"/>
  <c r="BB21" i="9" a="1"/>
  <c r="BC21" i="9" a="1"/>
  <c r="BE24" i="9" a="1"/>
  <c r="CN24" i="9" a="1"/>
  <c r="I24" i="9" a="1"/>
  <c r="R24" i="9" a="1"/>
  <c r="M23" i="9" a="1"/>
  <c r="CG23" i="9" a="1"/>
  <c r="BU22" i="9" a="1"/>
  <c r="H26" i="9" a="1"/>
  <c r="AK21" i="9" a="1"/>
  <c r="AN28" i="9" a="1"/>
  <c r="K172" i="14"/>
  <c r="BI25" i="9" a="1"/>
  <c r="R28" i="9" a="1"/>
  <c r="CF22" i="9" a="1"/>
  <c r="AC26" i="9" a="1"/>
  <c r="O25" i="9" a="1"/>
  <c r="AB23" i="9" a="1"/>
  <c r="AD25" i="9" a="1"/>
  <c r="K590" i="22"/>
  <c r="AX28" i="9" a="1"/>
  <c r="AM25" i="9" a="1"/>
  <c r="Z24" i="9" a="1"/>
  <c r="CJ23" i="9" a="1"/>
  <c r="AU26" i="9" a="1"/>
  <c r="BP26" i="9" a="1"/>
  <c r="BC25" i="9" a="1"/>
  <c r="BF27" i="9" a="1"/>
  <c r="BJ28" i="9" a="1"/>
  <c r="CE24" i="9" a="1"/>
  <c r="CM21" i="9" a="1"/>
  <c r="CJ24" i="9" a="1"/>
  <c r="K134" i="15"/>
  <c r="AS21" i="9" a="1"/>
  <c r="BK27" i="9" a="1"/>
  <c r="AQ21" i="9" a="1"/>
  <c r="CD21" i="9" a="1"/>
  <c r="CB23" i="9" a="1"/>
  <c r="K1160" i="22"/>
  <c r="CK20" i="9" a="1"/>
  <c r="CF21" i="9" a="1"/>
  <c r="BB24" i="9" a="1"/>
  <c r="BX28" i="9" a="1"/>
  <c r="BU28" i="9" a="1"/>
  <c r="BD24" i="9" a="1"/>
  <c r="U26" i="9" a="1"/>
  <c r="T24" i="9" a="1"/>
  <c r="CB21" i="9" a="1"/>
  <c r="H21" i="9" a="1"/>
  <c r="CA26" i="9" a="1"/>
  <c r="AV24" i="9" a="1"/>
  <c r="BL20" i="9" a="1"/>
  <c r="AN20" i="9" a="1"/>
  <c r="BV22" i="9" a="1"/>
  <c r="CA22" i="9" a="1"/>
  <c r="CM22" i="9" a="1"/>
  <c r="BD23" i="9" a="1"/>
  <c r="AZ23" i="9" a="1"/>
  <c r="S27" i="9" a="1"/>
  <c r="CL27" i="9" a="1"/>
  <c r="Q21" i="9" a="1"/>
  <c r="AY20" i="9" a="1"/>
  <c r="G20" i="9" a="1"/>
  <c r="BN24" i="9" a="1"/>
  <c r="T22" i="9" a="1"/>
  <c r="R21" i="9" a="1"/>
  <c r="CC21" i="9" a="1"/>
  <c r="CK21" i="9" a="1"/>
  <c r="AB24" i="9" a="1"/>
  <c r="AP27" i="9" a="1"/>
  <c r="BW27" i="9" a="1"/>
  <c r="BP25" i="9" a="1"/>
  <c r="AL24" i="9" a="1"/>
  <c r="CR28" i="9" a="1"/>
  <c r="CP27" i="9" a="1"/>
  <c r="CK28" i="9" a="1"/>
  <c r="K134" i="14"/>
  <c r="AJ28" i="9" a="1"/>
  <c r="AK28" i="9" a="1"/>
  <c r="BR27" i="9" a="1"/>
  <c r="N27" i="9" a="1"/>
  <c r="CD27" i="9" a="1"/>
  <c r="AH26" i="9" a="1"/>
  <c r="BP21" i="9" a="1"/>
  <c r="L28" i="9" a="1"/>
  <c r="L21" i="9" a="1"/>
  <c r="AP21" i="9" a="1"/>
  <c r="AR27" i="9" a="1"/>
  <c r="AF24" i="9" a="1"/>
  <c r="BR21" i="9" a="1"/>
  <c r="BK21" i="9" a="1"/>
  <c r="BI21" i="9" a="1"/>
  <c r="CN26" i="9" a="1"/>
  <c r="CQ26" i="9" a="1"/>
  <c r="CE25" i="9" a="1"/>
  <c r="AG25" i="9" a="1"/>
  <c r="CN28" i="9" a="1"/>
  <c r="CI21" i="9" a="1"/>
  <c r="K172" i="5"/>
  <c r="Z20" i="9" a="1"/>
  <c r="I28" i="9" a="1"/>
  <c r="BF21" i="9" a="1"/>
  <c r="K20" i="22"/>
  <c r="BT20" i="9" a="1"/>
  <c r="K172" i="18"/>
  <c r="S20" i="9" a="1"/>
  <c r="AK22" i="9" a="1"/>
  <c r="BO23" i="9" a="1"/>
  <c r="BB25" i="9" a="1"/>
  <c r="AP23" i="9" a="1"/>
  <c r="CJ22" i="9" a="1"/>
  <c r="CG26" i="9" a="1"/>
  <c r="G26" i="9" a="1"/>
  <c r="P25" i="9" a="1"/>
  <c r="Q25" i="9" a="1"/>
  <c r="AJ24" i="9" a="1"/>
  <c r="U24" i="9" a="1"/>
  <c r="AD27" i="9" a="1"/>
  <c r="BC20" i="9" a="1"/>
  <c r="L24" i="9" a="1"/>
  <c r="M21" i="9" a="1"/>
  <c r="AO23" i="9" a="1"/>
  <c r="CI27" i="9" a="1"/>
  <c r="BL26" i="9" a="1"/>
  <c r="AW28" i="9" a="1"/>
  <c r="BV25" i="9" a="1"/>
  <c r="AG26" i="9" a="1"/>
  <c r="AP26" i="9" a="1"/>
  <c r="AJ20" i="9" a="1"/>
  <c r="AK26" i="9" a="1"/>
  <c r="BC28" i="9" a="1"/>
  <c r="AE25" i="9" a="1"/>
  <c r="BB28" i="9" a="1"/>
  <c r="BI28" i="9" a="1"/>
  <c r="BT28" i="9" a="1"/>
  <c r="AO20" i="9" a="1"/>
  <c r="BI24" i="9" a="1"/>
  <c r="AC23" i="9" a="1"/>
  <c r="BG22" i="9" a="1"/>
  <c r="CM20" i="9" a="1"/>
  <c r="AL28" i="9" a="1"/>
  <c r="K20" i="18"/>
  <c r="AT26" i="9" a="1"/>
  <c r="E28" i="9" a="1"/>
  <c r="CL21" i="9" a="1"/>
  <c r="AW27" i="9" a="1"/>
  <c r="AM21" i="9" a="1"/>
  <c r="BM21" i="9" a="1"/>
  <c r="K58" i="5"/>
  <c r="K362" i="22"/>
  <c r="K1198" i="22"/>
  <c r="BI20" i="9" a="1"/>
  <c r="K20" i="14"/>
  <c r="BW22" i="9" a="1"/>
  <c r="Q28" i="9" a="1"/>
  <c r="AW22" i="9" a="1"/>
  <c r="G23" i="9" a="1"/>
  <c r="AI23" i="9" a="1"/>
  <c r="AX27" i="9" a="1"/>
  <c r="AH23" i="9" a="1"/>
  <c r="AZ25" i="9" a="1"/>
  <c r="BP27" i="9" a="1"/>
  <c r="BF25" i="9" a="1"/>
  <c r="Q20" i="9" a="1"/>
  <c r="CQ24" i="9" a="1"/>
  <c r="Q23" i="9" a="1"/>
  <c r="CE20" i="9" a="1"/>
  <c r="AD22" i="9" a="1"/>
  <c r="AP20" i="9" a="1"/>
  <c r="AV23" i="9" a="1"/>
  <c r="BW25" i="9" a="1"/>
  <c r="BS23" i="9" a="1"/>
  <c r="BS27" i="9" a="1"/>
  <c r="CE26" i="9" a="1"/>
  <c r="R25" i="9" a="1"/>
  <c r="AC21" i="9" a="1"/>
  <c r="AI26" i="9" a="1"/>
  <c r="S26" i="9" a="1"/>
  <c r="Z25" i="9" a="1"/>
  <c r="CA25" i="9" a="1"/>
  <c r="BX26" i="9" a="1"/>
  <c r="BJ22" i="9" a="1"/>
  <c r="BO22" i="9" a="1"/>
  <c r="K704" i="14"/>
  <c r="CA27" i="9" a="1"/>
  <c r="K1540" i="22"/>
  <c r="BH27" i="9" a="1"/>
  <c r="U22" i="9" a="1"/>
  <c r="AB21" i="9" a="1"/>
  <c r="U21" i="9" a="1"/>
  <c r="BJ25" i="9" a="1"/>
  <c r="CG24" i="9" a="1"/>
  <c r="BJ27" i="9" a="1"/>
  <c r="R27" i="9" a="1"/>
  <c r="BA24" i="9" a="1"/>
  <c r="BF24" i="9" a="1"/>
  <c r="BP28" i="9" a="1"/>
  <c r="K58" i="13"/>
  <c r="AU28" i="9" a="1"/>
  <c r="AP28" i="9" a="1"/>
  <c r="AD28" i="9" a="1"/>
  <c r="BH28" i="9" a="1"/>
  <c r="BD27" i="9" a="1"/>
  <c r="BH26" i="9" a="1"/>
  <c r="AJ21" i="9" a="1"/>
  <c r="R26" i="9" a="1"/>
  <c r="K96" i="13"/>
  <c r="BO26" i="9" a="1"/>
  <c r="CN21" i="9" a="1"/>
  <c r="AL20" i="9" a="1"/>
  <c r="F27" i="9" a="1"/>
  <c r="N28" i="9" a="1"/>
  <c r="BV21" i="9" a="1"/>
  <c r="I22" i="9" a="1"/>
  <c r="J27" i="9" a="1"/>
  <c r="AW26" i="9" a="1"/>
  <c r="CL22" i="9" a="1"/>
  <c r="CF25" i="9" a="1"/>
  <c r="BR24" i="9" a="1"/>
  <c r="CQ23" i="9" a="1"/>
  <c r="AW21" i="9" a="1"/>
  <c r="K1312" i="22"/>
  <c r="BD28" i="9" a="1"/>
  <c r="F28" i="9" a="1"/>
  <c r="E21" i="9" a="1"/>
  <c r="BK20" i="9" a="1"/>
  <c r="K400" i="22"/>
  <c r="K590" i="14"/>
  <c r="AB27" i="9" a="1"/>
  <c r="BR25" i="9" a="1"/>
  <c r="BB26" i="9" a="1"/>
  <c r="K1692" i="22"/>
  <c r="BM20" i="9" a="1"/>
  <c r="L22" i="9" a="1"/>
  <c r="Y21" i="9" a="1"/>
  <c r="AU20" i="9" a="1"/>
  <c r="AN27" i="9" a="1"/>
  <c r="CK22" i="9" a="1"/>
  <c r="N23" i="9" a="1"/>
  <c r="X23" i="9" a="1"/>
  <c r="CP23" i="9" a="1"/>
  <c r="R22" i="9" a="1"/>
  <c r="CR22" i="9" a="1"/>
  <c r="Y22" i="9" a="1"/>
  <c r="BH21" i="9" a="1"/>
  <c r="AB20" i="9" a="1"/>
  <c r="CB20" i="9" a="1"/>
  <c r="AA24" i="9" a="1"/>
  <c r="CC23" i="9" a="1"/>
  <c r="CO26" i="9" a="1"/>
  <c r="U25" i="9" a="1"/>
  <c r="CH23" i="9" a="1"/>
  <c r="BB20" i="9" a="1"/>
  <c r="BU27" i="9" a="1"/>
  <c r="AC22" i="9" a="1"/>
  <c r="BF22" i="9" a="1"/>
  <c r="K324" i="15"/>
  <c r="BY26" i="9" a="1"/>
  <c r="K1844" i="22"/>
  <c r="AU21" i="9" a="1"/>
  <c r="CH24" i="9" a="1"/>
  <c r="BE21" i="9" a="1"/>
  <c r="AZ24" i="9" a="1"/>
  <c r="AK24" i="9" a="1"/>
  <c r="CO27" i="9" a="1"/>
  <c r="AR20" i="9" a="1"/>
  <c r="CB24" i="9" a="1"/>
  <c r="AF22" i="9" a="1"/>
  <c r="O27" i="9" a="1"/>
  <c r="AR28" i="9" a="1"/>
  <c r="T28" i="9" a="1"/>
  <c r="BW28" i="9" a="1"/>
  <c r="BB23" i="9" a="1"/>
  <c r="BX22" i="9" a="1"/>
  <c r="AF27" i="9" a="1"/>
  <c r="AM27" i="9" a="1"/>
  <c r="BN26" i="9" a="1"/>
  <c r="L26" i="9" a="1"/>
  <c r="AC28" i="9" a="1"/>
  <c r="AN24" i="9" a="1"/>
  <c r="CO21" i="9" a="1"/>
  <c r="X22" i="9" a="1"/>
  <c r="BK24" i="9" a="1"/>
  <c r="AY23" i="9" a="1"/>
  <c r="AT21" i="9" a="1"/>
  <c r="BQ27" i="9" a="1"/>
  <c r="BS22" i="9" a="1"/>
  <c r="AO26" i="9" a="1"/>
  <c r="AS24" i="9" a="1"/>
  <c r="L25" i="9" a="1"/>
  <c r="U23" i="9" a="1"/>
  <c r="O28" i="9" a="1"/>
  <c r="T20" i="9" a="1"/>
  <c r="K1008" i="22"/>
  <c r="S28" i="9" a="1"/>
  <c r="I25" i="9" a="1"/>
  <c r="CE21" i="9" a="1"/>
  <c r="CL20" i="9" a="1"/>
  <c r="BA21" i="9" a="1"/>
  <c r="O20" i="9" a="1"/>
  <c r="BH23" i="9" a="1"/>
  <c r="CI22" i="9" a="1"/>
  <c r="BZ25" i="9" a="1"/>
  <c r="CG25" i="9" a="1"/>
  <c r="BZ22" i="9" a="1"/>
  <c r="S22" i="9" a="1"/>
  <c r="BG25" i="9" a="1"/>
  <c r="CR27" i="9" a="1"/>
  <c r="AP25" i="9" a="1"/>
  <c r="CC25" i="9" a="1"/>
  <c r="CI24" i="9" a="1"/>
  <c r="H28" i="9" a="1"/>
  <c r="G27" i="9" a="1"/>
  <c r="X24" i="9" a="1"/>
  <c r="CM24" i="9" a="1"/>
  <c r="BF23" i="9" a="1"/>
  <c r="BZ23" i="9" a="1"/>
  <c r="AY26" i="9" a="1"/>
  <c r="CJ25" i="9" a="1"/>
  <c r="AY24" i="9" a="1"/>
  <c r="W24" i="9" a="1"/>
  <c r="AX26" i="9" a="1"/>
  <c r="I27" i="9" a="1"/>
  <c r="J24" i="9" a="1"/>
  <c r="K362" i="14"/>
  <c r="K818" i="22"/>
  <c r="U28" i="9" a="1"/>
  <c r="AV21" i="9" a="1"/>
  <c r="AE28" i="9" a="1"/>
  <c r="BD21" i="9" a="1"/>
  <c r="X20" i="9" a="1"/>
  <c r="AD23" i="9" a="1"/>
  <c r="BW23" i="9" a="1"/>
  <c r="K514" i="22"/>
  <c r="H20" i="9" a="1"/>
  <c r="CD20" i="9" a="1"/>
  <c r="X25" i="9" a="1"/>
  <c r="E27" i="9" a="1"/>
  <c r="K970" i="22"/>
  <c r="CB28" i="9" a="1"/>
  <c r="AG27" i="9" a="1"/>
  <c r="BA27" i="9" a="1"/>
  <c r="AQ27" i="9" a="1"/>
  <c r="N20" i="9" a="1"/>
  <c r="BQ28" i="9" a="1"/>
  <c r="CA21" i="9" a="1"/>
  <c r="BF20" i="9" a="1"/>
  <c r="K704" i="22"/>
  <c r="I21" i="9" a="1"/>
  <c r="CB22" i="9" a="1"/>
  <c r="CE23" i="9" a="1"/>
  <c r="V22" i="9" a="1"/>
  <c r="CL23" i="9" a="1"/>
  <c r="CI25" i="9" a="1"/>
  <c r="O21" i="9" a="1"/>
  <c r="AZ21" i="9" a="1"/>
  <c r="CP21" i="9" a="1"/>
  <c r="BQ21" i="9" a="1"/>
  <c r="K286" i="14"/>
  <c r="M24" i="9" a="1"/>
  <c r="R23" i="9" a="1"/>
  <c r="K27" i="9" a="1"/>
  <c r="BG23" i="9" a="1"/>
  <c r="Z26" i="9" a="1"/>
  <c r="BN27" i="9" a="1"/>
  <c r="U20" i="9" a="1"/>
  <c r="BN28" i="9" a="1"/>
  <c r="CN20" i="9" a="1"/>
  <c r="BK28" i="9" a="1"/>
  <c r="K58" i="18"/>
  <c r="K552" i="14"/>
  <c r="I26" i="9" a="1"/>
  <c r="Q22" i="9" a="1"/>
  <c r="X27" i="9" a="1"/>
  <c r="BY28" i="9" a="1"/>
  <c r="CB26" i="9" a="1"/>
  <c r="AG28" i="9" a="1"/>
  <c r="BY25" i="9" a="1"/>
  <c r="Y25" i="9" a="1"/>
  <c r="CN23" i="9" a="1"/>
  <c r="AJ22" i="9" a="1"/>
  <c r="AA25" i="9" a="1"/>
  <c r="CH28" i="9" a="1"/>
  <c r="F20" i="9" a="1"/>
  <c r="BX23" i="9" a="1"/>
  <c r="K96" i="15"/>
  <c r="Y27" i="9" a="1"/>
  <c r="AV22" i="9" a="1"/>
  <c r="AU25" i="9" a="1"/>
  <c r="E23" i="9" a="1"/>
  <c r="BO27" i="9" a="1"/>
  <c r="CL26" i="9" a="1"/>
  <c r="CH25" i="9" a="1"/>
  <c r="AO27" i="9" a="1"/>
  <c r="BL22" i="9" a="1"/>
  <c r="AR25" i="9" a="1"/>
  <c r="CO25" i="9" a="1"/>
  <c r="AE20" i="9" a="1"/>
  <c r="AS22" i="9" a="1"/>
  <c r="K1654" i="22"/>
  <c r="BA22" i="9" a="1"/>
  <c r="BM28" i="9" a="1"/>
  <c r="BL21" i="9" a="1"/>
  <c r="AK23" i="9" a="1"/>
  <c r="AX20" i="9" a="1"/>
  <c r="AG23" i="9" a="1"/>
  <c r="CJ27" i="9" a="1"/>
  <c r="AV20" i="9" a="1"/>
  <c r="AC24" i="9" a="1"/>
  <c r="S21" i="9" a="1"/>
  <c r="Z23" i="9" a="1"/>
  <c r="M26" i="9" a="1"/>
  <c r="BC26" i="9" a="1"/>
  <c r="AG21" i="9" a="1"/>
  <c r="AM26" i="9" a="1"/>
  <c r="CG21" i="9" a="1"/>
  <c r="P23" i="9" a="1"/>
  <c r="BM24" i="9" a="1"/>
  <c r="AO22" i="9" a="1"/>
  <c r="AA26" i="9" a="1"/>
  <c r="K894" i="22"/>
  <c r="BK23" i="9" a="1"/>
  <c r="AG20" i="9" a="1"/>
  <c r="BX25" i="9" a="1"/>
  <c r="AF26" i="9" a="1"/>
  <c r="CI20" i="9" a="1"/>
  <c r="AO24" i="9" a="1"/>
  <c r="AN25" i="9" a="1"/>
  <c r="AX23" i="9" a="1"/>
  <c r="AZ22" i="9" a="1"/>
  <c r="BK26" i="9" a="1"/>
  <c r="BV23" i="9" a="1"/>
  <c r="AZ28" i="9" a="1"/>
  <c r="CR25" i="9" a="1"/>
  <c r="K476" i="22"/>
  <c r="J21" i="9" a="1"/>
  <c r="BM23" i="9" a="1"/>
  <c r="CI23" i="9" a="1"/>
  <c r="Z21" i="9" a="1"/>
  <c r="K1616" i="22"/>
  <c r="AH24" i="9" a="1"/>
  <c r="BT26" i="9" a="1"/>
  <c r="AK20" i="9" a="1"/>
  <c r="AF25" i="9" a="1"/>
  <c r="AK27" i="9" a="1"/>
  <c r="K210" i="14"/>
  <c r="CL24" i="9" a="1"/>
  <c r="BC23" i="9" a="1"/>
  <c r="AF20" i="9" a="1"/>
  <c r="BU23" i="9" a="1"/>
  <c r="W25" i="9" a="1"/>
  <c r="CR26" i="9" a="1"/>
  <c r="CI28" i="9" a="1"/>
  <c r="CL28" i="9" a="1"/>
  <c r="CH20" i="9" a="1"/>
  <c r="CG28" i="9" a="1"/>
  <c r="BX20" i="9" a="1"/>
  <c r="K666" i="22"/>
  <c r="AB26" i="9" a="1"/>
  <c r="K514" i="14"/>
  <c r="CM26" i="9" a="1"/>
  <c r="K21" i="9" a="1"/>
  <c r="BY24" i="9" a="1"/>
  <c r="AD21" i="9" a="1"/>
  <c r="CO24" i="9" a="1"/>
  <c r="H25" i="9" a="1"/>
  <c r="CK23" i="9" a="1"/>
  <c r="AM22" i="9" a="1"/>
  <c r="K134" i="22"/>
  <c r="BP23" i="9" a="1"/>
  <c r="BS26" i="9" a="1"/>
  <c r="CP28" i="9" a="1"/>
  <c r="BR23" i="9" a="1"/>
  <c r="AR22" i="9" a="1"/>
  <c r="CQ28" i="9" a="1"/>
  <c r="CJ26" i="9" a="1"/>
  <c r="BT22" i="9" a="1"/>
  <c r="Z27" i="9" a="1"/>
  <c r="BX21" i="9" a="1"/>
  <c r="BR20" i="9" a="1"/>
  <c r="CQ22" i="9" a="1"/>
  <c r="AA28" i="9" a="1"/>
  <c r="F25" i="9" a="1"/>
  <c r="BQ26" i="9" a="1"/>
  <c r="K666" i="14"/>
  <c r="K628" i="22"/>
  <c r="S24" i="9" a="1"/>
  <c r="BV28" i="9" a="1"/>
  <c r="BL23" i="9" a="1"/>
  <c r="AL22" i="9" a="1"/>
  <c r="K248" i="22"/>
  <c r="AH20" i="9" a="1"/>
  <c r="CE27" i="9" a="1"/>
  <c r="BK25" i="9" a="1"/>
  <c r="N21" i="9" a="1"/>
  <c r="BV26" i="9" a="1"/>
  <c r="BO25" i="9" a="1"/>
  <c r="K476" i="14"/>
  <c r="AY28" i="9" a="1"/>
  <c r="CK27" i="9" a="1"/>
  <c r="W22" i="9" a="1"/>
  <c r="AL25" i="9" a="1"/>
  <c r="K1768" i="22"/>
  <c r="AU24" i="9" a="1"/>
  <c r="P20" i="9" a="1"/>
  <c r="K742" i="22"/>
  <c r="CP25" i="9" a="1"/>
  <c r="AQ23" i="9" a="1"/>
  <c r="AH28" i="9" a="1"/>
  <c r="AM20" i="9" a="1"/>
  <c r="AA23" i="9" a="1"/>
  <c r="BJ26" i="9" a="1"/>
  <c r="AQ20" i="9" a="1"/>
  <c r="K1578" i="22"/>
  <c r="H24" i="9" a="1"/>
  <c r="BT23" i="9" a="1"/>
  <c r="K1464" i="22"/>
  <c r="AA27" i="9" a="1"/>
  <c r="K96" i="14"/>
  <c r="AN23" i="9" a="1"/>
  <c r="BY21" i="9" a="1"/>
  <c r="BR26" i="9" a="1"/>
  <c r="M25" i="9" a="1"/>
  <c r="BD22" i="9" a="1"/>
  <c r="CB25" i="9" a="1"/>
  <c r="CO22" i="9" a="1"/>
  <c r="BA25" i="9" a="1"/>
  <c r="F24" i="9" a="1"/>
  <c r="AJ23" i="9" a="1"/>
  <c r="BQ24" i="9" a="1"/>
  <c r="AE24" i="9" a="1"/>
  <c r="AE27" i="9" a="1"/>
  <c r="X28" i="9" a="1"/>
  <c r="AE26" i="9" a="1"/>
  <c r="K28" i="9" a="1"/>
  <c r="W20" i="9" a="1"/>
  <c r="CA28" i="9" a="1"/>
  <c r="BS28" i="9" a="1"/>
  <c r="AS26" i="9" a="1"/>
  <c r="CD28" i="9" a="1"/>
  <c r="CD26" i="9" a="1"/>
  <c r="AH27" i="9" a="1"/>
  <c r="BY23" i="9" a="1"/>
  <c r="AH25" i="9" a="1"/>
  <c r="BS21" i="9" a="1"/>
  <c r="BJ23" i="9" a="1"/>
  <c r="AB22" i="9" a="1"/>
  <c r="AZ20" i="9" a="1"/>
  <c r="Y24" i="9" a="1"/>
  <c r="CK24" i="9" a="1"/>
  <c r="K552" i="22"/>
  <c r="AV27" i="9" a="1"/>
  <c r="BM27" i="9" a="1"/>
  <c r="V24" i="9" a="1"/>
  <c r="AX24" i="9" a="1"/>
  <c r="AC25" i="9" a="1"/>
  <c r="BY20" i="9" a="1"/>
  <c r="BW24" i="9" a="1"/>
  <c r="CR23" i="9" a="1"/>
  <c r="CI26" i="9" a="1"/>
  <c r="K1350" i="22"/>
  <c r="AY27" i="9" a="1"/>
  <c r="K58" i="15"/>
  <c r="AT25" i="9" a="1"/>
  <c r="I23" i="9" a="1"/>
  <c r="AA20" i="9" a="1"/>
  <c r="O24" i="9" a="1"/>
  <c r="AV28" i="9" a="1"/>
  <c r="AG22" i="9" a="1"/>
  <c r="F22" i="9" a="1"/>
  <c r="K1730" i="22"/>
  <c r="K248" i="14"/>
  <c r="BJ24" i="9" a="1"/>
  <c r="AM28" i="9" a="1"/>
  <c r="R20" i="9" a="1"/>
  <c r="K1388" i="22"/>
  <c r="AL26" i="9" a="1"/>
  <c r="BG28" i="9" a="1"/>
  <c r="Y26" i="9" a="1"/>
  <c r="AU27" i="9" a="1"/>
  <c r="BZ26" i="9" a="1"/>
  <c r="T21" i="9" a="1"/>
  <c r="AX21" i="9" a="1"/>
  <c r="CM28" i="9" a="1"/>
  <c r="K1502" i="22"/>
  <c r="BM25" i="9" a="1"/>
  <c r="M27" i="9" a="1"/>
  <c r="CD22" i="9" a="1"/>
  <c r="BH22" i="9" a="1"/>
  <c r="BU20" i="9" a="1"/>
  <c r="CO28" i="9" a="1"/>
  <c r="AT20" i="9" a="1"/>
  <c r="AQ22" i="9" a="1"/>
  <c r="K20" i="5"/>
  <c r="V26" i="9" a="1"/>
  <c r="V27" i="9" a="1"/>
  <c r="AI20" i="9" a="1"/>
  <c r="L23" i="9" a="1"/>
  <c r="BE23" i="9" a="1"/>
  <c r="Q26" i="9" a="1"/>
  <c r="BU24" i="9" a="1"/>
  <c r="CF28" i="9" a="1"/>
  <c r="V20" i="9" a="1"/>
  <c r="CN27" i="9" a="1"/>
  <c r="K172" i="22"/>
  <c r="BQ20" i="9" a="1"/>
  <c r="BC22" i="9" a="1"/>
  <c r="AI25" i="9" a="1"/>
  <c r="BU21" i="9" a="1"/>
  <c r="CH21" i="9" a="1"/>
  <c r="CC24" i="9" a="1"/>
  <c r="AH21" i="9" a="1"/>
  <c r="AG24" i="9" a="1"/>
  <c r="CA24" i="9" a="1"/>
  <c r="Z22" i="9" a="1"/>
  <c r="CP22" i="9" a="1"/>
  <c r="BQ25" i="9" a="1"/>
  <c r="BQ23" i="9" a="1"/>
  <c r="AD20" i="9" a="1"/>
  <c r="K210" i="15"/>
  <c r="BI27" i="9" a="1"/>
  <c r="AN21" i="9" a="1"/>
  <c r="AA21" i="9" a="1"/>
  <c r="AW25" i="9" a="1"/>
  <c r="AX22" i="9" a="1"/>
  <c r="AB28" i="9" a="1"/>
  <c r="O23" i="9" a="1"/>
  <c r="AB25" i="9" a="1"/>
  <c r="J20" i="9" a="1"/>
  <c r="T27" i="9" a="1"/>
  <c r="CF23" i="9" a="1"/>
  <c r="BE26" i="9" a="1"/>
  <c r="CF27" i="9" a="1"/>
  <c r="AI21" i="9" a="1"/>
  <c r="BN23" i="9" a="1"/>
  <c r="AM23" i="9" a="1"/>
  <c r="CQ25" i="9" a="1"/>
  <c r="P24" i="9" a="1"/>
  <c r="BV27" i="9" a="1"/>
  <c r="I20" i="9" a="1"/>
  <c r="BJ21" i="9" a="1"/>
  <c r="AE21" i="9" a="1"/>
  <c r="BF28" i="9" a="1"/>
  <c r="BI22" i="9" a="1"/>
  <c r="CA20" i="9" a="1"/>
  <c r="AW24" i="9" a="1"/>
  <c r="BG21" i="9" a="1"/>
  <c r="CO23" i="9" a="1"/>
  <c r="CO20" i="9" a="1"/>
  <c r="AM24" i="9" a="1"/>
  <c r="O26" i="9" a="1"/>
  <c r="K20" i="9" a="1"/>
  <c r="G22" i="9" a="1"/>
  <c r="K1806" i="22"/>
  <c r="BE28" i="9" a="1"/>
  <c r="AJ26" i="9" a="1"/>
  <c r="BQ22" i="9" a="1"/>
  <c r="BB27" i="9" a="1"/>
  <c r="AS25" i="9" a="1"/>
  <c r="Y28" i="9" a="1"/>
  <c r="BE25" i="9" a="1"/>
  <c r="N25" i="9" a="1"/>
  <c r="G25" i="9" a="1"/>
  <c r="BR22" i="9" a="1"/>
  <c r="BC27" i="9" a="1"/>
  <c r="BZ20" i="9" a="1"/>
  <c r="BG20" i="9" a="1"/>
  <c r="CG27" i="9" a="1"/>
  <c r="CQ27" i="9" a="1"/>
  <c r="BO21" i="9" a="1"/>
  <c r="O22" i="9" a="1"/>
  <c r="K438" i="14"/>
  <c r="W23" i="9" a="1"/>
  <c r="BG24" i="9" a="1"/>
  <c r="K1046" i="22"/>
  <c r="S23" i="9" a="1"/>
  <c r="K932" i="22"/>
  <c r="BZ21" i="9" a="1"/>
  <c r="K1084" i="22"/>
  <c r="T26" i="9" a="1"/>
  <c r="G28" i="9" a="1"/>
  <c r="BP20" i="9" a="1"/>
  <c r="AV26" i="9" a="1"/>
  <c r="AL23" i="9" a="1"/>
  <c r="AY25" i="9" a="1"/>
  <c r="G24" i="9" a="1"/>
  <c r="M20" i="9" a="1"/>
  <c r="V28" i="9" a="1"/>
  <c r="K856" i="22"/>
  <c r="CP20" i="9" a="1"/>
  <c r="E20" i="9" a="1"/>
  <c r="AP22" i="9" a="1"/>
  <c r="CP26" i="9" a="1"/>
  <c r="BZ28" i="9" a="1"/>
  <c r="AL21" i="9" a="1"/>
  <c r="H23" i="9" a="1"/>
  <c r="K58" i="22"/>
  <c r="CD25" i="9" a="1"/>
  <c r="CD23" i="9" a="1"/>
  <c r="CE28" i="9" a="1"/>
  <c r="BD26" i="9" a="1"/>
  <c r="K96" i="22"/>
  <c r="BF26" i="9" a="1"/>
  <c r="BO20" i="9" a="1"/>
  <c r="CG22" i="9" a="1"/>
  <c r="BX27" i="9" a="1"/>
  <c r="AV25" i="9" a="1"/>
  <c r="AI27" i="9" a="1"/>
  <c r="CJ28" i="9" a="1"/>
  <c r="BU25" i="9" a="1"/>
  <c r="AT24" i="9" a="1"/>
  <c r="AF21" i="9" a="1"/>
  <c r="N22" i="9" a="1"/>
  <c r="BS20" i="9" a="1"/>
  <c r="CJ21" i="9" a="1"/>
  <c r="AT23" i="9" a="1"/>
  <c r="CF20" i="9" a="1"/>
  <c r="P21" i="9" a="1"/>
  <c r="BG27" i="9" a="1"/>
  <c r="K628" i="14"/>
  <c r="K400" i="14"/>
  <c r="AS20" i="9" a="1"/>
  <c r="AA22" i="9" a="1"/>
  <c r="K248" i="15"/>
  <c r="AN26" i="9" a="1"/>
  <c r="Y23" i="9" a="1"/>
  <c r="K25" i="9" a="1"/>
  <c r="K286" i="15"/>
  <c r="E25" i="9" a="1"/>
  <c r="K23" i="9" a="1"/>
  <c r="BG26" i="9" a="1"/>
  <c r="AJ25" i="9" a="1"/>
  <c r="BX24" i="9" a="1"/>
  <c r="CC27" i="9" a="1"/>
  <c r="Q24" i="9" a="1"/>
  <c r="F23" i="9" a="1"/>
  <c r="W26" i="9" a="1"/>
  <c r="AU23" i="9" a="1"/>
  <c r="CF24" i="9" a="1"/>
  <c r="K172" i="15"/>
  <c r="AO25" i="9" a="1"/>
  <c r="AH22" i="9" a="1"/>
  <c r="K26" i="9" a="1"/>
  <c r="AW23" i="9" a="1"/>
  <c r="BL28" i="9" a="1"/>
  <c r="BD25" i="9" a="1"/>
  <c r="AC20" i="9" a="1"/>
  <c r="BN20" i="9" a="1"/>
  <c r="K134" i="5"/>
  <c r="E26" i="9" a="1"/>
  <c r="AX25" i="9" a="1"/>
  <c r="AI28" i="9" a="1"/>
  <c r="BW26" i="9" a="1"/>
  <c r="CL25" i="9" a="1"/>
  <c r="CR20" i="9" a="1"/>
  <c r="K438" i="22"/>
  <c r="AS28" i="9" a="1"/>
  <c r="N24" i="9" a="1"/>
  <c r="AI24" i="9" a="1"/>
  <c r="V21" i="9" a="1"/>
  <c r="BA20" i="9" a="1"/>
  <c r="AF23" i="9" a="1"/>
  <c r="F21" i="9" a="1"/>
  <c r="CM25" i="9" a="1"/>
  <c r="AZ26" i="9" a="1"/>
  <c r="K96" i="5"/>
  <c r="K96" i="18"/>
  <c r="V23" i="9" a="1"/>
  <c r="BN21" i="9" a="1"/>
  <c r="BK22" i="9" a="1"/>
  <c r="BB22" i="9" a="1"/>
  <c r="W27" i="9" a="1"/>
  <c r="CN25" i="9" a="1"/>
  <c r="AP24" i="9" a="1"/>
  <c r="K780" i="22"/>
  <c r="BH24" i="9" a="1"/>
  <c r="AO28" i="9" a="1"/>
  <c r="K1122" i="22"/>
  <c r="BU26" i="9" a="1"/>
  <c r="AN22" i="9" a="1"/>
  <c r="AK25" i="9" a="1"/>
  <c r="M28" i="9" a="1"/>
  <c r="K210" i="22"/>
  <c r="P28" i="9" a="1"/>
  <c r="BJ20" i="9" a="1"/>
  <c r="K1426" i="22"/>
  <c r="BJ20" i="9" l="1"/>
  <c r="P28" i="9"/>
  <c r="M28" i="9"/>
  <c r="AK25" i="9"/>
  <c r="AN22" i="9"/>
  <c r="BU26" i="9"/>
  <c r="CQ9" i="19" s="1"/>
  <c r="AO28" i="9"/>
  <c r="BH24" i="9"/>
  <c r="CD7" i="19" s="1"/>
  <c r="AP24" i="9"/>
  <c r="CN25" i="9"/>
  <c r="W27" i="9"/>
  <c r="BB22" i="9"/>
  <c r="BK22" i="9"/>
  <c r="BN21" i="9"/>
  <c r="V23" i="9"/>
  <c r="AZ26" i="9"/>
  <c r="BV9" i="19" s="1"/>
  <c r="CM25" i="9"/>
  <c r="F21" i="9"/>
  <c r="AF23" i="9"/>
  <c r="BA20" i="9"/>
  <c r="V21" i="9"/>
  <c r="AI24" i="9"/>
  <c r="N24" i="9"/>
  <c r="AS28" i="9"/>
  <c r="CR20" i="9"/>
  <c r="CL25" i="9"/>
  <c r="BW26" i="9"/>
  <c r="AI28" i="9"/>
  <c r="AX25" i="9"/>
  <c r="E26" i="9"/>
  <c r="BN20" i="9"/>
  <c r="AC20" i="9"/>
  <c r="BD25" i="9"/>
  <c r="BL28" i="9"/>
  <c r="AW23" i="9"/>
  <c r="K26" i="9"/>
  <c r="AG9" i="19" s="1"/>
  <c r="AH22" i="9"/>
  <c r="AO25" i="9"/>
  <c r="CF24" i="9"/>
  <c r="AU23" i="9"/>
  <c r="W26" i="9"/>
  <c r="F23" i="9"/>
  <c r="Q24" i="9"/>
  <c r="CC27" i="9"/>
  <c r="BX24" i="9"/>
  <c r="AJ25" i="9"/>
  <c r="BG26" i="9"/>
  <c r="K23" i="9"/>
  <c r="E25" i="9"/>
  <c r="K25" i="9"/>
  <c r="Y23" i="9"/>
  <c r="AN26" i="9"/>
  <c r="AA22" i="9"/>
  <c r="AS20" i="9"/>
  <c r="BG27" i="9"/>
  <c r="P21" i="9"/>
  <c r="CF20" i="9"/>
  <c r="AT23" i="9"/>
  <c r="CJ21" i="9"/>
  <c r="BS20" i="9"/>
  <c r="N22" i="9"/>
  <c r="AF21" i="9"/>
  <c r="AT24" i="9"/>
  <c r="BU25" i="9"/>
  <c r="CQ8" i="19" s="1"/>
  <c r="CJ28" i="9"/>
  <c r="AI27" i="9"/>
  <c r="AV25" i="9"/>
  <c r="BX27" i="9"/>
  <c r="CT10" i="19" s="1"/>
  <c r="CG22" i="9"/>
  <c r="DC5" i="19" s="1"/>
  <c r="BO20" i="9"/>
  <c r="BF26" i="9"/>
  <c r="BD26" i="9"/>
  <c r="BZ9" i="19" s="1"/>
  <c r="CE28" i="9"/>
  <c r="CD23" i="9"/>
  <c r="CD25" i="9"/>
  <c r="H23" i="9"/>
  <c r="AL21" i="9"/>
  <c r="BZ28" i="9"/>
  <c r="CP26" i="9"/>
  <c r="AP22" i="9"/>
  <c r="E20" i="9"/>
  <c r="CP20" i="9"/>
  <c r="V28" i="9"/>
  <c r="M20" i="9"/>
  <c r="G24" i="9"/>
  <c r="AY25" i="9"/>
  <c r="AL23" i="9"/>
  <c r="AV26" i="9"/>
  <c r="BP20" i="9"/>
  <c r="G28" i="9"/>
  <c r="T26" i="9"/>
  <c r="BZ21" i="9"/>
  <c r="S23" i="9"/>
  <c r="BG24" i="9"/>
  <c r="W23" i="9"/>
  <c r="O22" i="9"/>
  <c r="BO21" i="9"/>
  <c r="CQ27" i="9"/>
  <c r="CG27" i="9"/>
  <c r="DC10" i="19" s="1"/>
  <c r="BG20" i="9"/>
  <c r="BZ20" i="9"/>
  <c r="BC27" i="9"/>
  <c r="BR22" i="9"/>
  <c r="G25" i="9"/>
  <c r="N25" i="9"/>
  <c r="BE25" i="9"/>
  <c r="Y28" i="9"/>
  <c r="AS25" i="9"/>
  <c r="BB27" i="9"/>
  <c r="BQ22" i="9"/>
  <c r="AJ26" i="9"/>
  <c r="BE28" i="9"/>
  <c r="CA11" i="19" s="1"/>
  <c r="G22" i="9"/>
  <c r="K20" i="9"/>
  <c r="O26" i="9"/>
  <c r="AM24" i="9"/>
  <c r="CO20" i="9"/>
  <c r="CO23" i="9"/>
  <c r="BG21" i="9"/>
  <c r="AW24" i="9"/>
  <c r="CA20" i="9"/>
  <c r="BI22" i="9"/>
  <c r="BF28" i="9"/>
  <c r="AE21" i="9"/>
  <c r="BA4" i="19" s="1"/>
  <c r="BJ21" i="9"/>
  <c r="I20" i="9"/>
  <c r="BV27" i="9"/>
  <c r="P24" i="9"/>
  <c r="AL7" i="19" s="1"/>
  <c r="CQ25" i="9"/>
  <c r="AM23" i="9"/>
  <c r="BN23" i="9"/>
  <c r="AI21" i="9"/>
  <c r="CF27" i="9"/>
  <c r="BE26" i="9"/>
  <c r="CF23" i="9"/>
  <c r="T27" i="9"/>
  <c r="AP10" i="19" s="1"/>
  <c r="J20" i="9"/>
  <c r="AB25" i="9"/>
  <c r="O23" i="9"/>
  <c r="AB28" i="9"/>
  <c r="AX22" i="9"/>
  <c r="AW25" i="9"/>
  <c r="AA21" i="9"/>
  <c r="AN21" i="9"/>
  <c r="BI27" i="9"/>
  <c r="AD20" i="9"/>
  <c r="BQ23" i="9"/>
  <c r="BQ25" i="9"/>
  <c r="CP22" i="9"/>
  <c r="Z22" i="9"/>
  <c r="CA24" i="9"/>
  <c r="AG24" i="9"/>
  <c r="AH21" i="9"/>
  <c r="CC24" i="9"/>
  <c r="CH21" i="9"/>
  <c r="BU21" i="9"/>
  <c r="AI25" i="9"/>
  <c r="BC22" i="9"/>
  <c r="BQ20" i="9"/>
  <c r="CN27" i="9"/>
  <c r="V20" i="9"/>
  <c r="CF28" i="9"/>
  <c r="BU24" i="9"/>
  <c r="Q26" i="9"/>
  <c r="BE23" i="9"/>
  <c r="L23" i="9"/>
  <c r="AI20" i="9"/>
  <c r="V27" i="9"/>
  <c r="V26" i="9"/>
  <c r="K14" i="5"/>
  <c r="AQ22" i="9"/>
  <c r="AT20" i="9"/>
  <c r="CO28" i="9"/>
  <c r="BU20" i="9"/>
  <c r="BH22" i="9"/>
  <c r="CD22" i="9"/>
  <c r="M27" i="9"/>
  <c r="BM25" i="9"/>
  <c r="CM28" i="9"/>
  <c r="AX21" i="9"/>
  <c r="T21" i="9"/>
  <c r="BZ26" i="9"/>
  <c r="AU27" i="9"/>
  <c r="Y26" i="9"/>
  <c r="BG28" i="9"/>
  <c r="AL26" i="9"/>
  <c r="R20" i="9"/>
  <c r="AM28" i="9"/>
  <c r="BJ24" i="9"/>
  <c r="F22" i="9"/>
  <c r="AG22" i="9"/>
  <c r="AV28" i="9"/>
  <c r="O24" i="9"/>
  <c r="AA20" i="9"/>
  <c r="I23" i="9"/>
  <c r="AT25" i="9"/>
  <c r="AY27" i="9"/>
  <c r="CI26" i="9"/>
  <c r="CR23" i="9"/>
  <c r="BW24" i="9"/>
  <c r="CS7" i="19" s="1"/>
  <c r="BY20" i="9"/>
  <c r="AC25" i="9"/>
  <c r="AX24" i="9"/>
  <c r="V24" i="9"/>
  <c r="BM27" i="9"/>
  <c r="AV27" i="9"/>
  <c r="CK24" i="9"/>
  <c r="Y24" i="9"/>
  <c r="AU7" i="19" s="1"/>
  <c r="AZ20" i="9"/>
  <c r="AB22" i="9"/>
  <c r="BJ23" i="9"/>
  <c r="BS21" i="9"/>
  <c r="AH25" i="9"/>
  <c r="BY23" i="9"/>
  <c r="AH27" i="9"/>
  <c r="CD26" i="9"/>
  <c r="CZ9" i="19" s="1"/>
  <c r="CD28" i="9"/>
  <c r="AS26" i="9"/>
  <c r="BS28" i="9"/>
  <c r="CA28" i="9"/>
  <c r="W20" i="9"/>
  <c r="K28" i="9"/>
  <c r="AE26" i="9"/>
  <c r="X28" i="9"/>
  <c r="AT11" i="19" s="1"/>
  <c r="AE27" i="9"/>
  <c r="AE24" i="9"/>
  <c r="BQ24" i="9"/>
  <c r="AJ23" i="9"/>
  <c r="F24" i="9"/>
  <c r="BA25" i="9"/>
  <c r="CO22" i="9"/>
  <c r="CB25" i="9"/>
  <c r="CX8" i="19" s="1"/>
  <c r="BD22" i="9"/>
  <c r="M25" i="9"/>
  <c r="BR26" i="9"/>
  <c r="BY21" i="9"/>
  <c r="AN23" i="9"/>
  <c r="AA27" i="9"/>
  <c r="BT23" i="9"/>
  <c r="H24" i="9"/>
  <c r="AD7" i="19" s="1"/>
  <c r="AQ20" i="9"/>
  <c r="BJ26" i="9"/>
  <c r="AA23" i="9"/>
  <c r="AM20" i="9"/>
  <c r="AH28" i="9"/>
  <c r="AQ23" i="9"/>
  <c r="CP25" i="9"/>
  <c r="P20" i="9"/>
  <c r="AU24" i="9"/>
  <c r="AL25" i="9"/>
  <c r="W22" i="9"/>
  <c r="CK27" i="9"/>
  <c r="AY28" i="9"/>
  <c r="BO25" i="9"/>
  <c r="BV26" i="9"/>
  <c r="N21" i="9"/>
  <c r="BK25" i="9"/>
  <c r="CE27" i="9"/>
  <c r="AH20" i="9"/>
  <c r="AL22" i="9"/>
  <c r="BL23" i="9"/>
  <c r="BV28" i="9"/>
  <c r="S24" i="9"/>
  <c r="BQ26" i="9"/>
  <c r="F25" i="9"/>
  <c r="AA28" i="9"/>
  <c r="CQ22" i="9"/>
  <c r="BR20" i="9"/>
  <c r="BX21" i="9"/>
  <c r="Z27" i="9"/>
  <c r="BT22" i="9"/>
  <c r="CJ26" i="9"/>
  <c r="DF9" i="19" s="1"/>
  <c r="CQ28" i="9"/>
  <c r="AR22" i="9"/>
  <c r="BR23" i="9"/>
  <c r="CP28" i="9"/>
  <c r="BS26" i="9"/>
  <c r="BP23" i="9"/>
  <c r="AM22" i="9"/>
  <c r="CK23" i="9"/>
  <c r="H25" i="9"/>
  <c r="CO24" i="9"/>
  <c r="AD21" i="9"/>
  <c r="BY24" i="9"/>
  <c r="K21" i="9"/>
  <c r="CM26" i="9"/>
  <c r="AB26" i="9"/>
  <c r="BX20" i="9"/>
  <c r="CG28" i="9"/>
  <c r="DC11" i="19" s="1"/>
  <c r="CH20" i="9"/>
  <c r="CL28" i="9"/>
  <c r="CI28" i="9"/>
  <c r="CR26" i="9"/>
  <c r="W25" i="9"/>
  <c r="BU23" i="9"/>
  <c r="AF20" i="9"/>
  <c r="BC23" i="9"/>
  <c r="CL24" i="9"/>
  <c r="AK27" i="9"/>
  <c r="AF25" i="9"/>
  <c r="AK20" i="9"/>
  <c r="BT26" i="9"/>
  <c r="AH24" i="9"/>
  <c r="Z21" i="9"/>
  <c r="CI23" i="9"/>
  <c r="BM23" i="9"/>
  <c r="J21" i="9"/>
  <c r="CR25" i="9"/>
  <c r="AZ28" i="9"/>
  <c r="BV23" i="9"/>
  <c r="BK26" i="9"/>
  <c r="AZ22" i="9"/>
  <c r="AX23" i="9"/>
  <c r="AN25" i="9"/>
  <c r="AO24" i="9"/>
  <c r="CI20" i="9"/>
  <c r="AF26" i="9"/>
  <c r="BX25" i="9"/>
  <c r="AG20" i="9"/>
  <c r="BK23" i="9"/>
  <c r="AA26" i="9"/>
  <c r="AO22" i="9"/>
  <c r="BM24" i="9"/>
  <c r="P23" i="9"/>
  <c r="CG21" i="9"/>
  <c r="DC4" i="19" s="1"/>
  <c r="AM26" i="9"/>
  <c r="AG21" i="9"/>
  <c r="BC26" i="9"/>
  <c r="BY9" i="19" s="1"/>
  <c r="M26" i="9"/>
  <c r="Z23" i="9"/>
  <c r="S21" i="9"/>
  <c r="AC24" i="9"/>
  <c r="AV20" i="9"/>
  <c r="CJ27" i="9"/>
  <c r="AG23" i="9"/>
  <c r="AX20" i="9"/>
  <c r="AK23" i="9"/>
  <c r="BL21" i="9"/>
  <c r="BM28" i="9"/>
  <c r="BA22" i="9"/>
  <c r="AS22" i="9"/>
  <c r="AE20" i="9"/>
  <c r="CO25" i="9"/>
  <c r="AR25" i="9"/>
  <c r="BL22" i="9"/>
  <c r="AO27" i="9"/>
  <c r="CH25" i="9"/>
  <c r="CL26" i="9"/>
  <c r="BO27" i="9"/>
  <c r="E23" i="9"/>
  <c r="AU25" i="9"/>
  <c r="AV22" i="9"/>
  <c r="Y27" i="9"/>
  <c r="BX23" i="9"/>
  <c r="F20" i="9"/>
  <c r="CH28" i="9"/>
  <c r="AA25" i="9"/>
  <c r="AJ22" i="9"/>
  <c r="CN23" i="9"/>
  <c r="Y25" i="9"/>
  <c r="AU8" i="19" s="1"/>
  <c r="BY25" i="9"/>
  <c r="AG28" i="9"/>
  <c r="CB26" i="9"/>
  <c r="BY28" i="9"/>
  <c r="X27" i="9"/>
  <c r="AT10" i="19" s="1"/>
  <c r="Q22" i="9"/>
  <c r="I26" i="9"/>
  <c r="BK28" i="9"/>
  <c r="CN20" i="9"/>
  <c r="BN28" i="9"/>
  <c r="U20" i="9"/>
  <c r="BN27" i="9"/>
  <c r="Z26" i="9"/>
  <c r="BG23" i="9"/>
  <c r="K27" i="9"/>
  <c r="R23" i="9"/>
  <c r="M24" i="9"/>
  <c r="BQ21" i="9"/>
  <c r="CP21" i="9"/>
  <c r="AZ21" i="9"/>
  <c r="O21" i="9"/>
  <c r="CI25" i="9"/>
  <c r="CL23" i="9"/>
  <c r="V22" i="9"/>
  <c r="CE23" i="9"/>
  <c r="CB22" i="9"/>
  <c r="I21" i="9"/>
  <c r="BF20" i="9"/>
  <c r="CA21" i="9"/>
  <c r="BQ28" i="9"/>
  <c r="N20" i="9"/>
  <c r="AQ27" i="9"/>
  <c r="BM10" i="19" s="1"/>
  <c r="BA27" i="9"/>
  <c r="AG27" i="9"/>
  <c r="CB28" i="9"/>
  <c r="E27" i="9"/>
  <c r="X25" i="9"/>
  <c r="CD20" i="9"/>
  <c r="H20" i="9"/>
  <c r="BW23" i="9"/>
  <c r="AD23" i="9"/>
  <c r="X20" i="9"/>
  <c r="BD21" i="9"/>
  <c r="AE28" i="9"/>
  <c r="AV21" i="9"/>
  <c r="U28" i="9"/>
  <c r="J24" i="9"/>
  <c r="I27" i="9"/>
  <c r="AE10" i="19" s="1"/>
  <c r="AX26" i="9"/>
  <c r="W24" i="9"/>
  <c r="AY24" i="9"/>
  <c r="CJ25" i="9"/>
  <c r="AY26" i="9"/>
  <c r="BZ23" i="9"/>
  <c r="BF23" i="9"/>
  <c r="CM24" i="9"/>
  <c r="X24" i="9"/>
  <c r="G27" i="9"/>
  <c r="H28" i="9"/>
  <c r="CI24" i="9"/>
  <c r="CC25" i="9"/>
  <c r="AP25" i="9"/>
  <c r="BL8" i="19" s="1"/>
  <c r="CR27" i="9"/>
  <c r="BG25" i="9"/>
  <c r="S22" i="9"/>
  <c r="BZ22" i="9"/>
  <c r="CG25" i="9"/>
  <c r="DC8" i="19" s="1"/>
  <c r="BZ25" i="9"/>
  <c r="CI22" i="9"/>
  <c r="BH23" i="9"/>
  <c r="O20" i="9"/>
  <c r="BA21" i="9"/>
  <c r="CL20" i="9"/>
  <c r="CE21" i="9"/>
  <c r="I25" i="9"/>
  <c r="S28" i="9"/>
  <c r="AO11" i="19" s="1"/>
  <c r="T20" i="9"/>
  <c r="O28" i="9"/>
  <c r="U23" i="9"/>
  <c r="L25" i="9"/>
  <c r="AH8" i="19" s="1"/>
  <c r="AS24" i="9"/>
  <c r="AO26" i="9"/>
  <c r="BS22" i="9"/>
  <c r="BQ27" i="9"/>
  <c r="CM10" i="19" s="1"/>
  <c r="AT21" i="9"/>
  <c r="AY23" i="9"/>
  <c r="BK24" i="9"/>
  <c r="X22" i="9"/>
  <c r="CO21" i="9"/>
  <c r="AN24" i="9"/>
  <c r="AC28" i="9"/>
  <c r="L26" i="9"/>
  <c r="AH9" i="19" s="1"/>
  <c r="BN26" i="9"/>
  <c r="AM27" i="9"/>
  <c r="BI10" i="19" s="1"/>
  <c r="AF27" i="9"/>
  <c r="BX22" i="9"/>
  <c r="BB23" i="9"/>
  <c r="BW28" i="9"/>
  <c r="T28" i="9"/>
  <c r="AR28" i="9"/>
  <c r="O27" i="9"/>
  <c r="AF22" i="9"/>
  <c r="CB24" i="9"/>
  <c r="AR20" i="9"/>
  <c r="CO27" i="9"/>
  <c r="AK24" i="9"/>
  <c r="AZ24" i="9"/>
  <c r="BE21" i="9"/>
  <c r="CH24" i="9"/>
  <c r="AU21" i="9"/>
  <c r="BY26" i="9"/>
  <c r="BF22" i="9"/>
  <c r="AC22" i="9"/>
  <c r="BU27" i="9"/>
  <c r="BB20" i="9"/>
  <c r="CH23" i="9"/>
  <c r="U25" i="9"/>
  <c r="CO26" i="9"/>
  <c r="CC23" i="9"/>
  <c r="AA24" i="9"/>
  <c r="AW7" i="19" s="1"/>
  <c r="CB20" i="9"/>
  <c r="AB20" i="9"/>
  <c r="BH21" i="9"/>
  <c r="Y22" i="9"/>
  <c r="CR22" i="9"/>
  <c r="R22" i="9"/>
  <c r="CP23" i="9"/>
  <c r="X23" i="9"/>
  <c r="N23" i="9"/>
  <c r="CK22" i="9"/>
  <c r="AN27" i="9"/>
  <c r="AU20" i="9"/>
  <c r="Y21" i="9"/>
  <c r="L22" i="9"/>
  <c r="BM20" i="9"/>
  <c r="BB26" i="9"/>
  <c r="BX9" i="19" s="1"/>
  <c r="BR25" i="9"/>
  <c r="AB27" i="9"/>
  <c r="BK20" i="9"/>
  <c r="E21" i="9"/>
  <c r="F28" i="9"/>
  <c r="BD28" i="9"/>
  <c r="AW21" i="9"/>
  <c r="CQ23" i="9"/>
  <c r="BR24" i="9"/>
  <c r="CF25" i="9"/>
  <c r="CL22" i="9"/>
  <c r="AW26" i="9"/>
  <c r="J27" i="9"/>
  <c r="AF10" i="19" s="1"/>
  <c r="I22" i="9"/>
  <c r="BV21" i="9"/>
  <c r="N28" i="9"/>
  <c r="AJ11" i="19" s="1"/>
  <c r="F27" i="9"/>
  <c r="AL20" i="9"/>
  <c r="CN21" i="9"/>
  <c r="BO26" i="9"/>
  <c r="R26" i="9"/>
  <c r="AN9" i="19" s="1"/>
  <c r="AJ21" i="9"/>
  <c r="BH26" i="9"/>
  <c r="BD27" i="9"/>
  <c r="BH28" i="9"/>
  <c r="AD28" i="9"/>
  <c r="AP28" i="9"/>
  <c r="AU28" i="9"/>
  <c r="BP28" i="9"/>
  <c r="BF24" i="9"/>
  <c r="BA24" i="9"/>
  <c r="R27" i="9"/>
  <c r="AN10" i="19" s="1"/>
  <c r="BJ27" i="9"/>
  <c r="CG24" i="9"/>
  <c r="DC7" i="19" s="1"/>
  <c r="BJ25" i="9"/>
  <c r="U21" i="9"/>
  <c r="AB21" i="9"/>
  <c r="U22" i="9"/>
  <c r="BH27" i="9"/>
  <c r="CA27" i="9"/>
  <c r="CW10" i="19" s="1"/>
  <c r="BO22" i="9"/>
  <c r="BJ22" i="9"/>
  <c r="BX26" i="9"/>
  <c r="CA25" i="9"/>
  <c r="Z25" i="9"/>
  <c r="S26" i="9"/>
  <c r="AO9" i="19" s="1"/>
  <c r="AI26" i="9"/>
  <c r="AC21" i="9"/>
  <c r="R25" i="9"/>
  <c r="CE26" i="9"/>
  <c r="BS27" i="9"/>
  <c r="BS23" i="9"/>
  <c r="BW25" i="9"/>
  <c r="AV23" i="9"/>
  <c r="AP20" i="9"/>
  <c r="AD22" i="9"/>
  <c r="AZ5" i="19" s="1"/>
  <c r="CE20" i="9"/>
  <c r="Q23" i="9"/>
  <c r="CQ24" i="9"/>
  <c r="Q20" i="9"/>
  <c r="BF25" i="9"/>
  <c r="BP27" i="9"/>
  <c r="CL10" i="19" s="1"/>
  <c r="AZ25" i="9"/>
  <c r="AH23" i="9"/>
  <c r="AX27" i="9"/>
  <c r="AI23" i="9"/>
  <c r="G23" i="9"/>
  <c r="AW22" i="9"/>
  <c r="Q28" i="9"/>
  <c r="AM11" i="19" s="1"/>
  <c r="BW22" i="9"/>
  <c r="BI20" i="9"/>
  <c r="BM21" i="9"/>
  <c r="AM21" i="9"/>
  <c r="AW27" i="9"/>
  <c r="CL21" i="9"/>
  <c r="E28" i="9"/>
  <c r="AT26" i="9"/>
  <c r="K14" i="18"/>
  <c r="AL28" i="9"/>
  <c r="CM20" i="9"/>
  <c r="BG22" i="9"/>
  <c r="AC23" i="9"/>
  <c r="BI24" i="9"/>
  <c r="CE7" i="19" s="1"/>
  <c r="AO20" i="9"/>
  <c r="BT28" i="9"/>
  <c r="BI28" i="9"/>
  <c r="CE11" i="19" s="1"/>
  <c r="BB28" i="9"/>
  <c r="AE25" i="9"/>
  <c r="BC28" i="9"/>
  <c r="AK26" i="9"/>
  <c r="AJ20" i="9"/>
  <c r="AP26" i="9"/>
  <c r="BL9" i="19" s="1"/>
  <c r="AG26" i="9"/>
  <c r="BV25" i="9"/>
  <c r="AW28" i="9"/>
  <c r="BL26" i="9"/>
  <c r="CI27" i="9"/>
  <c r="AO23" i="9"/>
  <c r="M21" i="9"/>
  <c r="L24" i="9"/>
  <c r="AH7" i="19" s="1"/>
  <c r="BC20" i="9"/>
  <c r="AD27" i="9"/>
  <c r="AZ10" i="19" s="1"/>
  <c r="U24" i="9"/>
  <c r="AJ24" i="9"/>
  <c r="Q25" i="9"/>
  <c r="P25" i="9"/>
  <c r="G26" i="9"/>
  <c r="CG26" i="9"/>
  <c r="DC9" i="19" s="1"/>
  <c r="CJ22" i="9"/>
  <c r="AP23" i="9"/>
  <c r="BB25" i="9"/>
  <c r="BO23" i="9"/>
  <c r="AK22" i="9"/>
  <c r="S20" i="9"/>
  <c r="BT20" i="9"/>
  <c r="K14" i="22"/>
  <c r="BF21" i="9"/>
  <c r="I28" i="9"/>
  <c r="AE11" i="19" s="1"/>
  <c r="Z20" i="9"/>
  <c r="CI21" i="9"/>
  <c r="CN28" i="9"/>
  <c r="AG25" i="9"/>
  <c r="CE25" i="9"/>
  <c r="CQ26" i="9"/>
  <c r="CN26" i="9"/>
  <c r="BI21" i="9"/>
  <c r="BK21" i="9"/>
  <c r="BR21" i="9"/>
  <c r="AF24" i="9"/>
  <c r="AR27" i="9"/>
  <c r="AP21" i="9"/>
  <c r="L21" i="9"/>
  <c r="L28" i="9"/>
  <c r="AH11" i="19" s="1"/>
  <c r="BP21" i="9"/>
  <c r="AH26" i="9"/>
  <c r="CD27" i="9"/>
  <c r="CZ10" i="19" s="1"/>
  <c r="N27" i="9"/>
  <c r="BR27" i="9"/>
  <c r="AK28" i="9"/>
  <c r="AJ28" i="9"/>
  <c r="CK28" i="9"/>
  <c r="CP27" i="9"/>
  <c r="DL10" i="19" s="1"/>
  <c r="CR28" i="9"/>
  <c r="AL24" i="9"/>
  <c r="BP25" i="9"/>
  <c r="BW27" i="9"/>
  <c r="AP27" i="9"/>
  <c r="AB24" i="9"/>
  <c r="CK21" i="9"/>
  <c r="CC21" i="9"/>
  <c r="R21" i="9"/>
  <c r="T22" i="9"/>
  <c r="BN24" i="9"/>
  <c r="G20" i="9"/>
  <c r="AY20" i="9"/>
  <c r="Q21" i="9"/>
  <c r="CL27" i="9"/>
  <c r="S27" i="9"/>
  <c r="AO10" i="19" s="1"/>
  <c r="AZ23" i="9"/>
  <c r="BD23" i="9"/>
  <c r="CM22" i="9"/>
  <c r="CA22" i="9"/>
  <c r="BV22" i="9"/>
  <c r="AN20" i="9"/>
  <c r="BL20" i="9"/>
  <c r="AV24" i="9"/>
  <c r="CA26" i="9"/>
  <c r="H21" i="9"/>
  <c r="CB21" i="9"/>
  <c r="T24" i="9"/>
  <c r="U26" i="9"/>
  <c r="BD24" i="9"/>
  <c r="BU28" i="9"/>
  <c r="CQ11" i="19" s="1"/>
  <c r="BX28" i="9"/>
  <c r="CT11" i="19" s="1"/>
  <c r="BB24" i="9"/>
  <c r="CF21" i="9"/>
  <c r="CK20" i="9"/>
  <c r="CB23" i="9"/>
  <c r="CD21" i="9"/>
  <c r="AQ21" i="9"/>
  <c r="BK27" i="9"/>
  <c r="AS21" i="9"/>
  <c r="CJ24" i="9"/>
  <c r="CM21" i="9"/>
  <c r="CE24" i="9"/>
  <c r="BJ28" i="9"/>
  <c r="BF27" i="9"/>
  <c r="BC25" i="9"/>
  <c r="BP26" i="9"/>
  <c r="AU26" i="9"/>
  <c r="CJ23" i="9"/>
  <c r="Z24" i="9"/>
  <c r="AV7" i="19" s="1"/>
  <c r="AM25" i="9"/>
  <c r="AX28" i="9"/>
  <c r="AD25" i="9"/>
  <c r="AB23" i="9"/>
  <c r="O25" i="9"/>
  <c r="AC26" i="9"/>
  <c r="CF22" i="9"/>
  <c r="R28" i="9"/>
  <c r="AN11" i="19" s="1"/>
  <c r="BI25" i="9"/>
  <c r="AN28" i="9"/>
  <c r="AK21" i="9"/>
  <c r="H26" i="9"/>
  <c r="AD9" i="19" s="1"/>
  <c r="BU22" i="9"/>
  <c r="CG23" i="9"/>
  <c r="DC6" i="19" s="1"/>
  <c r="M23" i="9"/>
  <c r="R24" i="9"/>
  <c r="AN7" i="19" s="1"/>
  <c r="I24" i="9"/>
  <c r="CN24" i="9"/>
  <c r="BE24" i="9"/>
  <c r="BC21" i="9"/>
  <c r="BB21" i="9"/>
  <c r="CD24" i="9"/>
  <c r="BO24" i="9"/>
  <c r="AY21" i="9"/>
  <c r="CF26" i="9"/>
  <c r="K24" i="9"/>
  <c r="BT25" i="9"/>
  <c r="BV20" i="9"/>
  <c r="AR21" i="9"/>
  <c r="AT22" i="9"/>
  <c r="AT28" i="9"/>
  <c r="J25" i="9"/>
  <c r="AF8" i="19" s="1"/>
  <c r="CM27" i="9"/>
  <c r="X21" i="9"/>
  <c r="Y20" i="9"/>
  <c r="BE22" i="9"/>
  <c r="AL27" i="9"/>
  <c r="AW20" i="9"/>
  <c r="BH20" i="9"/>
  <c r="BN22" i="9"/>
  <c r="CC28" i="9"/>
  <c r="BZ24" i="9"/>
  <c r="BN25" i="9"/>
  <c r="CK25" i="9"/>
  <c r="BA26" i="9"/>
  <c r="BZ27" i="9"/>
  <c r="BY22" i="9"/>
  <c r="W28" i="9"/>
  <c r="AS11" i="19" s="1"/>
  <c r="BH25" i="9"/>
  <c r="CJ20" i="9"/>
  <c r="AR23" i="9"/>
  <c r="CQ20" i="9"/>
  <c r="CQ21" i="9"/>
  <c r="AJ27" i="9"/>
  <c r="BF10" i="19" s="1"/>
  <c r="BL27" i="9"/>
  <c r="U27" i="9"/>
  <c r="AQ10" i="19" s="1"/>
  <c r="E24" i="9"/>
  <c r="BL24" i="9"/>
  <c r="P26" i="9"/>
  <c r="P27" i="9"/>
  <c r="AL10" i="19" s="1"/>
  <c r="CA23" i="9"/>
  <c r="L20" i="9"/>
  <c r="W21" i="9"/>
  <c r="BT21" i="9"/>
  <c r="CN22" i="9"/>
  <c r="P22" i="9"/>
  <c r="E22" i="9"/>
  <c r="AR26" i="9"/>
  <c r="BN9" i="19" s="1"/>
  <c r="BI23" i="9"/>
  <c r="AI22" i="9"/>
  <c r="H22" i="9"/>
  <c r="BS25" i="9"/>
  <c r="CO8" i="19" s="1"/>
  <c r="BA28" i="9"/>
  <c r="G21" i="9"/>
  <c r="CC22" i="9"/>
  <c r="BE20" i="9"/>
  <c r="CK26" i="9"/>
  <c r="AT27" i="9"/>
  <c r="CH27" i="9"/>
  <c r="AZ27" i="9"/>
  <c r="AD24" i="9"/>
  <c r="BD20" i="9"/>
  <c r="N26" i="9"/>
  <c r="BY27" i="9"/>
  <c r="CU10" i="19" s="1"/>
  <c r="BE27" i="9"/>
  <c r="F26" i="9"/>
  <c r="AE23" i="9"/>
  <c r="T23" i="9"/>
  <c r="CM23" i="9"/>
  <c r="CP24" i="9"/>
  <c r="CB27" i="9"/>
  <c r="AC27" i="9"/>
  <c r="BA23" i="9"/>
  <c r="AQ24" i="9"/>
  <c r="X26" i="9"/>
  <c r="S25" i="9"/>
  <c r="AO8" i="19" s="1"/>
  <c r="BM22" i="9"/>
  <c r="J22" i="9"/>
  <c r="BR28" i="9"/>
  <c r="AQ25" i="9"/>
  <c r="BM8" i="19" s="1"/>
  <c r="AE22" i="9"/>
  <c r="BP22" i="9"/>
  <c r="J26" i="9"/>
  <c r="BS24" i="9"/>
  <c r="CO7" i="19" s="1"/>
  <c r="CC20" i="9"/>
  <c r="K14" i="15"/>
  <c r="H27" i="9"/>
  <c r="AQ28" i="9"/>
  <c r="BM11" i="19" s="1"/>
  <c r="BP24" i="9"/>
  <c r="Q27" i="9"/>
  <c r="AM10" i="19" s="1"/>
  <c r="BC24" i="9"/>
  <c r="V25" i="9"/>
  <c r="AR8" i="19" s="1"/>
  <c r="AD26" i="9"/>
  <c r="CH26" i="9"/>
  <c r="BM26" i="9"/>
  <c r="K22" i="9"/>
  <c r="BW21" i="9"/>
  <c r="CH22" i="9"/>
  <c r="BT27" i="9"/>
  <c r="M22" i="9"/>
  <c r="BW20" i="9"/>
  <c r="AR24" i="9"/>
  <c r="T25" i="9"/>
  <c r="BL25" i="9"/>
  <c r="CH8" i="19" s="1"/>
  <c r="CC26" i="9"/>
  <c r="AQ26" i="9"/>
  <c r="AS27" i="9"/>
  <c r="AY22" i="9"/>
  <c r="BI26" i="9"/>
  <c r="BO28" i="9"/>
  <c r="BT24" i="9"/>
  <c r="J28" i="9"/>
  <c r="AF11" i="19" s="1"/>
  <c r="Z28" i="9"/>
  <c r="AF28" i="9"/>
  <c r="CR24" i="9"/>
  <c r="J23" i="9"/>
  <c r="L27" i="9"/>
  <c r="AS23" i="9"/>
  <c r="BV24" i="9"/>
  <c r="CR21" i="9"/>
  <c r="AO21" i="9"/>
  <c r="CE22" i="9"/>
  <c r="AU22" i="9"/>
  <c r="AW95" i="9"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T9" i="19"/>
  <c r="CQ36" i="19"/>
  <c r="CT36" i="19"/>
  <c r="CQ32" i="19"/>
  <c r="CT32" i="19"/>
  <c r="CQ28" i="19"/>
  <c r="CT28" i="19"/>
  <c r="CQ24" i="19"/>
  <c r="CT24" i="19"/>
  <c r="CQ20" i="19"/>
  <c r="CT20" i="19"/>
  <c r="CQ16" i="19"/>
  <c r="CT16" i="19"/>
  <c r="CQ12" i="19"/>
  <c r="CT12" i="19"/>
  <c r="CT8" i="19"/>
  <c r="CQ35" i="19"/>
  <c r="CT35" i="19"/>
  <c r="CQ31" i="19"/>
  <c r="CT31" i="19"/>
  <c r="CQ27" i="19"/>
  <c r="CT27" i="19"/>
  <c r="CQ23" i="19"/>
  <c r="CT23" i="19"/>
  <c r="CQ19" i="19"/>
  <c r="CT19" i="19"/>
  <c r="CQ15" i="19"/>
  <c r="CT15" i="19"/>
  <c r="CQ7" i="19"/>
  <c r="CT7" i="19"/>
  <c r="CQ34" i="19"/>
  <c r="CT34" i="19"/>
  <c r="CQ30" i="19"/>
  <c r="CT30" i="19"/>
  <c r="CQ26" i="19"/>
  <c r="CT26" i="19"/>
  <c r="CQ22" i="19"/>
  <c r="CT22" i="19"/>
  <c r="CQ18" i="19"/>
  <c r="CT18" i="19"/>
  <c r="CQ14" i="19"/>
  <c r="CT14" i="19"/>
  <c r="CQ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I11"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CF9" i="19"/>
  <c r="BL36" i="19"/>
  <c r="CF36" i="19"/>
  <c r="BL32" i="19"/>
  <c r="CF32" i="19"/>
  <c r="BL28" i="19"/>
  <c r="CF28" i="19"/>
  <c r="BL24" i="19"/>
  <c r="CF24" i="19"/>
  <c r="BL20" i="19"/>
  <c r="CF20" i="19"/>
  <c r="BL16" i="19"/>
  <c r="CF16" i="19"/>
  <c r="BL12" i="19"/>
  <c r="CF12"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BA36" i="19"/>
  <c r="AZ36" i="19"/>
  <c r="BA32" i="19"/>
  <c r="AZ32" i="19"/>
  <c r="BA28" i="19"/>
  <c r="AZ28" i="19"/>
  <c r="BA24" i="19"/>
  <c r="AZ24" i="19"/>
  <c r="BA20" i="19"/>
  <c r="AZ20" i="19"/>
  <c r="BA16" i="19"/>
  <c r="AZ16" i="19"/>
  <c r="BA12" i="19"/>
  <c r="AZ12" i="19"/>
  <c r="BA8" i="19"/>
  <c r="AZ8"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E8" i="19"/>
  <c r="AF35" i="19"/>
  <c r="AE35" i="19"/>
  <c r="AF31" i="19"/>
  <c r="AE31" i="19"/>
  <c r="AF27" i="19"/>
  <c r="AE27" i="19"/>
  <c r="AF23" i="19"/>
  <c r="AE23" i="19"/>
  <c r="AF19" i="19"/>
  <c r="AE19" i="19"/>
  <c r="AF15" i="19"/>
  <c r="AE15" i="19"/>
  <c r="AF7" i="19"/>
  <c r="AE7" i="19"/>
  <c r="AF34" i="19"/>
  <c r="AE34" i="19"/>
  <c r="AF30" i="19"/>
  <c r="AE30" i="19"/>
  <c r="AF26" i="19"/>
  <c r="AE26" i="19"/>
  <c r="AF22" i="19"/>
  <c r="AE22" i="19"/>
  <c r="AF18" i="19"/>
  <c r="AE18" i="19"/>
  <c r="AF14" i="19"/>
  <c r="AE14"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G8" i="19"/>
  <c r="AH35" i="19"/>
  <c r="AG35" i="19"/>
  <c r="AH31" i="19"/>
  <c r="AG31" i="19"/>
  <c r="AH27" i="19"/>
  <c r="AG27" i="19"/>
  <c r="AH23" i="19"/>
  <c r="AG23" i="19"/>
  <c r="AH19" i="19"/>
  <c r="AG19" i="19"/>
  <c r="AH15" i="19"/>
  <c r="AG15" i="19"/>
  <c r="AG11"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K7" i="19"/>
  <c r="AL34" i="19"/>
  <c r="AK34" i="19"/>
  <c r="AL30" i="19"/>
  <c r="AK30" i="19"/>
  <c r="AL26" i="19"/>
  <c r="AK26" i="19"/>
  <c r="AL22" i="19"/>
  <c r="AK22" i="19"/>
  <c r="AL18" i="19"/>
  <c r="AK18" i="19"/>
  <c r="AL14" i="19"/>
  <c r="AK14" i="19"/>
  <c r="AK10" i="19"/>
  <c r="AN37" i="19"/>
  <c r="AM37" i="19"/>
  <c r="AN33" i="19"/>
  <c r="AM33" i="19"/>
  <c r="AN29" i="19"/>
  <c r="AM29" i="19"/>
  <c r="AN25" i="19"/>
  <c r="AM25" i="19"/>
  <c r="AN21" i="19"/>
  <c r="AM21" i="19"/>
  <c r="AN17" i="19"/>
  <c r="AM17" i="19"/>
  <c r="AN13" i="19"/>
  <c r="AM13"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M7" i="19"/>
  <c r="AN34" i="19"/>
  <c r="AM34" i="19"/>
  <c r="AN30" i="19"/>
  <c r="AM30" i="19"/>
  <c r="AN26" i="19"/>
  <c r="AM26" i="19"/>
  <c r="AN22" i="19"/>
  <c r="AM22" i="19"/>
  <c r="AN18" i="19"/>
  <c r="AM18" i="19"/>
  <c r="AN14" i="19"/>
  <c r="AM14" i="19"/>
  <c r="AO37" i="19"/>
  <c r="AO33" i="19"/>
  <c r="AO29" i="19"/>
  <c r="AO25" i="19"/>
  <c r="AO21" i="19"/>
  <c r="AO17" i="19"/>
  <c r="AO13" i="19"/>
  <c r="AO36" i="19"/>
  <c r="AO32" i="19"/>
  <c r="AO28" i="19"/>
  <c r="AO24" i="19"/>
  <c r="AO20" i="19"/>
  <c r="AO16" i="19"/>
  <c r="AO12" i="19"/>
  <c r="AO35" i="19"/>
  <c r="AO31" i="19"/>
  <c r="AO27" i="19"/>
  <c r="AO23" i="19"/>
  <c r="AO19" i="19"/>
  <c r="AO15" i="19"/>
  <c r="AO7" i="19"/>
  <c r="AO34" i="19"/>
  <c r="AO30" i="19"/>
  <c r="AO26" i="19"/>
  <c r="AO22" i="19"/>
  <c r="AO18" i="19"/>
  <c r="AO14"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H10" i="19"/>
  <c r="BJ10" i="19"/>
  <c r="BN10" i="19"/>
  <c r="BR10" i="19"/>
  <c r="BU10" i="19"/>
  <c r="BX10" i="19"/>
  <c r="CA10" i="19"/>
  <c r="CD10" i="19"/>
  <c r="CK10" i="19"/>
  <c r="CO10" i="19"/>
  <c r="CX10" i="19"/>
  <c r="DD10" i="19"/>
  <c r="DH10" i="19"/>
  <c r="BG10" i="19"/>
  <c r="BO10" i="19"/>
  <c r="BW10" i="19"/>
  <c r="CH10" i="19"/>
  <c r="BS10" i="19"/>
  <c r="BV10" i="19"/>
  <c r="BZ10" i="19"/>
  <c r="CG10" i="19"/>
  <c r="CR10" i="19"/>
  <c r="CY10" i="19"/>
  <c r="DF10" i="19"/>
  <c r="BK10" i="19"/>
  <c r="BT10" i="19"/>
  <c r="CB10" i="19"/>
  <c r="CN10" i="19"/>
  <c r="DE10" i="19"/>
  <c r="CC10" i="19"/>
  <c r="CP10" i="19"/>
  <c r="DG10" i="19"/>
  <c r="BP10" i="19"/>
  <c r="BY10" i="19"/>
  <c r="CJ10" i="19"/>
  <c r="DI10" i="19"/>
  <c r="BQ10" i="19"/>
  <c r="CV10" i="19"/>
  <c r="DB10" i="19"/>
  <c r="DJ10" i="19"/>
  <c r="DN10" i="19"/>
  <c r="AX10" i="19"/>
  <c r="BD10" i="19"/>
  <c r="AA10" i="19"/>
  <c r="AW10" i="19"/>
  <c r="BE10" i="19"/>
  <c r="DK10" i="19"/>
  <c r="AY10" i="19"/>
  <c r="BB10" i="19"/>
  <c r="DM10" i="19"/>
  <c r="BC10" i="19"/>
  <c r="AR10" i="19"/>
  <c r="AB10" i="19"/>
  <c r="AU10" i="19"/>
  <c r="AD10" i="19"/>
  <c r="AV10" i="19"/>
  <c r="AC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CC9" i="19"/>
  <c r="CJ9" i="19"/>
  <c r="CN9" i="19"/>
  <c r="CR9" i="19"/>
  <c r="CW9" i="19"/>
  <c r="BS9" i="19"/>
  <c r="CA9" i="19"/>
  <c r="CG9" i="19"/>
  <c r="CM9" i="19"/>
  <c r="CU9" i="19"/>
  <c r="CY9" i="19"/>
  <c r="DE9" i="19"/>
  <c r="DI9" i="19"/>
  <c r="BI9" i="19"/>
  <c r="BO9" i="19"/>
  <c r="BU9" i="19"/>
  <c r="CH9" i="19"/>
  <c r="CP9" i="19"/>
  <c r="CX9" i="19"/>
  <c r="BH9" i="19"/>
  <c r="CD9" i="19"/>
  <c r="CO9" i="19"/>
  <c r="DD9" i="19"/>
  <c r="BJ9" i="19"/>
  <c r="CK9" i="19"/>
  <c r="BK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U8" i="19"/>
  <c r="DD8" i="19"/>
  <c r="DH8" i="19"/>
  <c r="BI8" i="19"/>
  <c r="BQ8" i="19"/>
  <c r="CC8" i="19"/>
  <c r="CL8" i="19"/>
  <c r="CW8" i="19"/>
  <c r="DE8" i="19"/>
  <c r="BP8" i="19"/>
  <c r="BV8" i="19"/>
  <c r="CJ8" i="19"/>
  <c r="CR8" i="19"/>
  <c r="CZ8" i="19"/>
  <c r="DI8" i="19"/>
  <c r="BO8" i="19"/>
  <c r="BT8" i="19"/>
  <c r="BZ8" i="19"/>
  <c r="CP8" i="19"/>
  <c r="CY8" i="19"/>
  <c r="DG8" i="19"/>
  <c r="BK8" i="19"/>
  <c r="BW8" i="19"/>
  <c r="CM8" i="19"/>
  <c r="DB8" i="19"/>
  <c r="BY8" i="19"/>
  <c r="CN8" i="19"/>
  <c r="DF8" i="19"/>
  <c r="BG8" i="19"/>
  <c r="BS8" i="19"/>
  <c r="CB8" i="19"/>
  <c r="CV8" i="19"/>
  <c r="CG8" i="19"/>
  <c r="DL8" i="19"/>
  <c r="BB8" i="19"/>
  <c r="AP8" i="19"/>
  <c r="AT8" i="19"/>
  <c r="AC8" i="19"/>
  <c r="DN8" i="19"/>
  <c r="BC8" i="19"/>
  <c r="DJ8" i="19"/>
  <c r="AW8" i="19"/>
  <c r="BD8" i="19"/>
  <c r="DK8" i="19"/>
  <c r="AX8" i="19"/>
  <c r="BE8" i="19"/>
  <c r="DM8" i="19"/>
  <c r="AY8" i="19"/>
  <c r="AD8" i="19"/>
  <c r="AV8" i="19"/>
  <c r="AQ8" i="19"/>
  <c r="AS8" i="19"/>
  <c r="AA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K11" i="19"/>
  <c r="CY11" i="19"/>
  <c r="DI11" i="19"/>
  <c r="DM11" i="19"/>
  <c r="AY11" i="19"/>
  <c r="BE11" i="19"/>
  <c r="AP11" i="19"/>
  <c r="DJ11" i="19"/>
  <c r="BC11" i="19"/>
  <c r="DK11" i="19"/>
  <c r="AW11" i="19"/>
  <c r="BD11" i="19"/>
  <c r="DL11" i="19"/>
  <c r="AX11" i="19"/>
  <c r="DN11" i="19"/>
  <c r="BB11" i="19"/>
  <c r="AD11" i="19"/>
  <c r="AU11" i="19"/>
  <c r="AC11" i="19"/>
  <c r="AV11" i="19"/>
  <c r="AA11" i="19"/>
  <c r="AQ11" i="19"/>
  <c r="AB11" i="19"/>
  <c r="AR11" i="19"/>
  <c r="BI7" i="19"/>
  <c r="BK7" i="19"/>
  <c r="BO7" i="19"/>
  <c r="BS7" i="19"/>
  <c r="BY7" i="19"/>
  <c r="CG7" i="19"/>
  <c r="CL7" i="19"/>
  <c r="CP7" i="19"/>
  <c r="CV7" i="19"/>
  <c r="CY7" i="19"/>
  <c r="DE7" i="19"/>
  <c r="DI7" i="19"/>
  <c r="BJ7" i="19"/>
  <c r="BP7" i="19"/>
  <c r="BT7" i="19"/>
  <c r="BX7" i="19"/>
  <c r="CB7" i="19"/>
  <c r="CJ7" i="19"/>
  <c r="DB7" i="19"/>
  <c r="DH7" i="19"/>
  <c r="BG7" i="19"/>
  <c r="BR7" i="19"/>
  <c r="BW7" i="19"/>
  <c r="CC7" i="19"/>
  <c r="CM7" i="19"/>
  <c r="CU7" i="19"/>
  <c r="DD7" i="19"/>
  <c r="BF7" i="19"/>
  <c r="BQ7" i="19"/>
  <c r="BV7" i="19"/>
  <c r="CA7" i="19"/>
  <c r="CK7" i="19"/>
  <c r="CR7" i="19"/>
  <c r="CZ7" i="19"/>
  <c r="BM7" i="19"/>
  <c r="CN7" i="19"/>
  <c r="DF7" i="19"/>
  <c r="BN7" i="19"/>
  <c r="BZ7" i="19"/>
  <c r="DG7" i="19"/>
  <c r="BH7" i="19"/>
  <c r="CW7" i="19"/>
  <c r="BU7" i="19"/>
  <c r="CH7" i="19"/>
  <c r="CX7" i="19"/>
  <c r="DM7" i="19"/>
  <c r="AY7" i="19"/>
  <c r="BE7" i="19"/>
  <c r="AP7" i="19"/>
  <c r="AT7" i="19"/>
  <c r="DN7" i="19"/>
  <c r="BD7" i="19"/>
  <c r="DJ7" i="19"/>
  <c r="AX7" i="19"/>
  <c r="DK7" i="19"/>
  <c r="BB7" i="19"/>
  <c r="DL7" i="19"/>
  <c r="BC7" i="19"/>
  <c r="AB7" i="19"/>
  <c r="AQ7" i="19"/>
  <c r="AR7" i="19"/>
  <c r="AA7" i="19"/>
  <c r="AS7" i="19"/>
  <c r="AC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P9" i="9"/>
  <c r="L9" i="9"/>
  <c r="L10" i="9"/>
  <c r="L8" i="9"/>
  <c r="P8"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55" i="9"/>
  <c r="K55" i="9"/>
  <c r="BJ55" i="9"/>
  <c r="W55" i="9"/>
  <c r="F362" i="14"/>
  <c r="I1882" i="22"/>
  <c r="CF55" i="9"/>
  <c r="G134" i="14"/>
  <c r="AP55" i="9"/>
  <c r="AU55" i="9"/>
  <c r="F172" i="15"/>
  <c r="F286" i="14"/>
  <c r="BZ55" i="9"/>
  <c r="AR55" i="9"/>
  <c r="AX55" i="9"/>
  <c r="H1692" i="21"/>
  <c r="Z55" i="9"/>
  <c r="N55" i="9"/>
  <c r="BQ55" i="9"/>
  <c r="BW55" i="9"/>
  <c r="G628" i="14"/>
  <c r="BI55" i="9"/>
  <c r="J134" i="15"/>
  <c r="I514" i="14"/>
  <c r="I704" i="14"/>
  <c r="BL55" i="9"/>
  <c r="X55" i="9"/>
  <c r="F400" i="14"/>
  <c r="L55" i="9"/>
  <c r="BU55" i="9"/>
  <c r="F514" i="14"/>
  <c r="AI55" i="9"/>
  <c r="AZ55" i="9"/>
  <c r="I1692" i="21"/>
  <c r="AH55" i="9"/>
  <c r="BF55" i="9"/>
  <c r="AG55" i="9"/>
  <c r="BC55" i="9"/>
  <c r="G55" i="9"/>
  <c r="R55" i="9"/>
  <c r="F1692" i="21"/>
  <c r="AO55" i="9"/>
  <c r="M55" i="9"/>
  <c r="G96" i="14"/>
  <c r="J628" i="14"/>
  <c r="G172" i="14"/>
  <c r="BO55" i="9"/>
  <c r="F628" i="14"/>
  <c r="H666" i="14"/>
  <c r="AK55" i="9"/>
  <c r="BG55" i="9"/>
  <c r="H324" i="14"/>
  <c r="CR55" i="9"/>
  <c r="AN55" i="9"/>
  <c r="F324" i="14"/>
  <c r="P55" i="9"/>
  <c r="CM55" i="9"/>
  <c r="AS55" i="9"/>
  <c r="G666" i="14"/>
  <c r="J1882" i="22"/>
  <c r="CE55" i="9"/>
  <c r="H134" i="15"/>
  <c r="BN55" i="9"/>
  <c r="AY55" i="9"/>
  <c r="CP55" i="9"/>
  <c r="H210" i="14"/>
  <c r="Q55" i="9"/>
  <c r="F134" i="15"/>
  <c r="F96" i="14"/>
  <c r="CH55" i="9"/>
  <c r="J704" i="14"/>
  <c r="AL55" i="9"/>
  <c r="H400" i="14"/>
  <c r="I362" i="14"/>
  <c r="I134" i="14"/>
  <c r="F55" i="9"/>
  <c r="BY55" i="9"/>
  <c r="CC55" i="9"/>
  <c r="G172" i="15"/>
  <c r="I96" i="14"/>
  <c r="BH55" i="9"/>
  <c r="G514" i="14"/>
  <c r="BD55" i="9"/>
  <c r="AM55" i="9"/>
  <c r="F172" i="14"/>
  <c r="H172" i="14"/>
  <c r="H172" i="15"/>
  <c r="AV55" i="9"/>
  <c r="I324" i="14"/>
  <c r="CI55" i="9"/>
  <c r="I666" i="14"/>
  <c r="G362" i="14"/>
  <c r="H286" i="14"/>
  <c r="BB55" i="9"/>
  <c r="CN55" i="9"/>
  <c r="BM55" i="9"/>
  <c r="V55" i="9"/>
  <c r="H628" i="14"/>
  <c r="J172" i="14"/>
  <c r="F666" i="14"/>
  <c r="BA55" i="9"/>
  <c r="CD55" i="9"/>
  <c r="H362" i="14"/>
  <c r="F704" i="14"/>
  <c r="I286" i="14"/>
  <c r="J324" i="14"/>
  <c r="AD55" i="9"/>
  <c r="I400" i="14"/>
  <c r="F248" i="14"/>
  <c r="BV55" i="9"/>
  <c r="CQ55" i="9"/>
  <c r="CO55" i="9"/>
  <c r="AT55" i="9"/>
  <c r="J286" i="14"/>
  <c r="CB55" i="9"/>
  <c r="H55" i="9"/>
  <c r="F134" i="14"/>
  <c r="H134" i="14"/>
  <c r="J55" i="9"/>
  <c r="AJ55" i="9"/>
  <c r="BE55" i="9"/>
  <c r="J134" i="14"/>
  <c r="CK55" i="9"/>
  <c r="J666" i="14"/>
  <c r="E55" i="9"/>
  <c r="T55" i="9"/>
  <c r="H248" i="14"/>
  <c r="AQ55" i="9"/>
  <c r="J172" i="15"/>
  <c r="S55" i="9"/>
  <c r="G286" i="14"/>
  <c r="AW55" i="9"/>
  <c r="J400" i="14"/>
  <c r="BX55" i="9"/>
  <c r="BS55" i="9"/>
  <c r="AB55" i="9"/>
  <c r="U55" i="9"/>
  <c r="G248" i="14"/>
  <c r="G1692" i="21"/>
  <c r="J1692" i="21"/>
  <c r="J248" i="14"/>
  <c r="AF55" i="9"/>
  <c r="I248" i="14"/>
  <c r="F210" i="14"/>
  <c r="CG55" i="9"/>
  <c r="J210" i="14"/>
  <c r="O55" i="9"/>
  <c r="Y55" i="9"/>
  <c r="G210" i="14"/>
  <c r="I134" i="15"/>
  <c r="BT55" i="9"/>
  <c r="I172" i="15"/>
  <c r="H514" i="14"/>
  <c r="J96" i="14"/>
  <c r="CL55" i="9"/>
  <c r="I628" i="14"/>
  <c r="J514" i="14"/>
  <c r="G704" i="14"/>
  <c r="AC55" i="9"/>
  <c r="G324" i="14"/>
  <c r="I210" i="14"/>
  <c r="F1882" i="22"/>
  <c r="AA55" i="9"/>
  <c r="CJ55" i="9"/>
  <c r="G400" i="14"/>
  <c r="I172" i="14"/>
  <c r="BP55" i="9"/>
  <c r="H1882" i="22"/>
  <c r="H96" i="14"/>
  <c r="AE55" i="9"/>
  <c r="BK55" i="9"/>
  <c r="G134" i="15"/>
  <c r="H704" i="14"/>
  <c r="BR55" i="9"/>
  <c r="J362" i="14"/>
  <c r="CA55" i="9"/>
  <c r="G1882" i="22"/>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616" i="21"/>
  <c r="J1122" i="22"/>
  <c r="I970" i="21"/>
  <c r="I1350" i="21"/>
  <c r="J1578" i="22"/>
  <c r="H1426" i="22"/>
  <c r="H1654" i="21"/>
  <c r="J1844" i="22"/>
  <c r="G1426" i="22"/>
  <c r="I1654" i="21"/>
  <c r="I1844" i="22"/>
  <c r="I970" i="22"/>
  <c r="I1578" i="22"/>
  <c r="J1426" i="22"/>
  <c r="F1616" i="21"/>
  <c r="J1654" i="21"/>
  <c r="I1008" i="22"/>
  <c r="F1008" i="22"/>
  <c r="F1654" i="21"/>
  <c r="J1616" i="21"/>
  <c r="F970" i="22"/>
  <c r="H970" i="21"/>
  <c r="J970" i="22"/>
  <c r="G1350" i="21"/>
  <c r="H1122" i="22"/>
  <c r="I1122" i="22"/>
  <c r="J1350" i="21"/>
  <c r="I1426" i="22"/>
  <c r="H1008" i="22"/>
  <c r="H1578" i="22"/>
  <c r="I1540" i="22"/>
  <c r="H1844" i="22"/>
  <c r="H1540" i="22"/>
  <c r="G1616" i="21"/>
  <c r="F1350" i="21"/>
  <c r="H970" i="22"/>
  <c r="F970" i="21"/>
  <c r="G970" i="22"/>
  <c r="F1578" i="22"/>
  <c r="H1350" i="21"/>
  <c r="F1540" i="22"/>
  <c r="F1844" i="22"/>
  <c r="H1616" i="21"/>
  <c r="J1540" i="22"/>
  <c r="G970" i="21"/>
  <c r="G1844" i="22"/>
  <c r="J970" i="21"/>
  <c r="F1122" i="22"/>
  <c r="G1008" i="22"/>
  <c r="G1654" i="21"/>
  <c r="J1008" i="22"/>
  <c r="G1122" i="22"/>
  <c r="G1540" i="22"/>
  <c r="F1426" i="22"/>
  <c r="G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I172" i="21" l="1"/>
  <c r="H210" i="15"/>
  <c r="G590" i="22"/>
  <c r="H628" i="21"/>
  <c r="F1236" i="22"/>
  <c r="J172" i="18"/>
  <c r="G286" i="22"/>
  <c r="F514" i="22"/>
  <c r="I58" i="14"/>
  <c r="H1540" i="21"/>
  <c r="J58" i="22"/>
  <c r="H780" i="22"/>
  <c r="F1464" i="21"/>
  <c r="G552" i="14"/>
  <c r="G324" i="21"/>
  <c r="H58" i="22"/>
  <c r="G1654" i="22"/>
  <c r="G134" i="22"/>
  <c r="F172" i="21"/>
  <c r="H58" i="5"/>
  <c r="J324" i="21"/>
  <c r="H590" i="14"/>
  <c r="J210" i="22"/>
  <c r="H856" i="21"/>
  <c r="H894" i="22"/>
  <c r="F1768" i="22"/>
  <c r="G1046" i="21"/>
  <c r="J514" i="21"/>
  <c r="H286" i="22"/>
  <c r="F894" i="21"/>
  <c r="I58" i="22"/>
  <c r="G134" i="21"/>
  <c r="I286" i="21"/>
  <c r="J1426" i="21"/>
  <c r="I590" i="14"/>
  <c r="F1388" i="22"/>
  <c r="G248" i="15"/>
  <c r="I1198" i="22"/>
  <c r="H704" i="21"/>
  <c r="J704" i="21"/>
  <c r="I210" i="5"/>
  <c r="H1426" i="21"/>
  <c r="I780" i="21"/>
  <c r="F590" i="21"/>
  <c r="J666" i="22"/>
  <c r="G20" i="5"/>
  <c r="G894" i="21"/>
  <c r="I1236" i="21"/>
  <c r="J1730" i="22"/>
  <c r="J248" i="15"/>
  <c r="F210" i="15"/>
  <c r="I894" i="22"/>
  <c r="G210" i="22"/>
  <c r="I932" i="21"/>
  <c r="G20" i="14"/>
  <c r="F324" i="15"/>
  <c r="J1464" i="22"/>
  <c r="F172" i="5"/>
  <c r="H1236" i="21"/>
  <c r="H58" i="18"/>
  <c r="J932" i="21"/>
  <c r="I248" i="21"/>
  <c r="F1312" i="21"/>
  <c r="J20" i="13"/>
  <c r="G20" i="13"/>
  <c r="J134" i="5"/>
  <c r="F20" i="14"/>
  <c r="I704" i="22"/>
  <c r="I1616" i="22"/>
  <c r="J134" i="18"/>
  <c r="I362" i="21"/>
  <c r="G96" i="21"/>
  <c r="F1654" i="22"/>
  <c r="I58" i="5"/>
  <c r="J58" i="18"/>
  <c r="H742" i="21"/>
  <c r="I96" i="13"/>
  <c r="J248" i="21"/>
  <c r="J1046" i="22"/>
  <c r="H590" i="21"/>
  <c r="H1312" i="21"/>
  <c r="F96" i="13"/>
  <c r="H20" i="5"/>
  <c r="J20" i="15"/>
  <c r="F20" i="13"/>
  <c r="I96" i="15"/>
  <c r="F400" i="21"/>
  <c r="J1502" i="21"/>
  <c r="F438" i="21"/>
  <c r="I704" i="21"/>
  <c r="I628" i="21"/>
  <c r="J362" i="21"/>
  <c r="J818" i="22"/>
  <c r="G1502" i="21"/>
  <c r="H248" i="22"/>
  <c r="F134" i="18"/>
  <c r="H58" i="14"/>
  <c r="G856" i="21"/>
  <c r="F590" i="22"/>
  <c r="H210" i="22"/>
  <c r="F1540" i="21"/>
  <c r="I932" i="22"/>
  <c r="J476" i="14"/>
  <c r="J1122" i="21"/>
  <c r="G1806" i="22"/>
  <c r="H1502" i="21"/>
  <c r="G210" i="15"/>
  <c r="G552" i="21"/>
  <c r="J1046" i="21"/>
  <c r="I1046" i="22"/>
  <c r="F1312" i="22"/>
  <c r="I438" i="22"/>
  <c r="J210" i="5"/>
  <c r="H1806" i="22"/>
  <c r="F628" i="21"/>
  <c r="G172" i="18"/>
  <c r="I1692" i="22"/>
  <c r="G1768" i="22"/>
  <c r="I210" i="21"/>
  <c r="G438" i="21"/>
  <c r="G210" i="21"/>
  <c r="G210" i="5"/>
  <c r="I400" i="22"/>
  <c r="G1540" i="21"/>
  <c r="H96" i="15"/>
  <c r="J134" i="21"/>
  <c r="H324" i="15"/>
  <c r="G324" i="15"/>
  <c r="G1426" i="21"/>
  <c r="G894" i="22"/>
  <c r="I552" i="14"/>
  <c r="F666" i="22"/>
  <c r="I210" i="22"/>
  <c r="F248" i="15"/>
  <c r="G1274" i="22"/>
  <c r="I324" i="22"/>
  <c r="G58" i="18"/>
  <c r="I58" i="13"/>
  <c r="I438" i="14"/>
  <c r="I476" i="21"/>
  <c r="I20" i="18"/>
  <c r="J628" i="21"/>
  <c r="F856" i="21"/>
  <c r="J58" i="13"/>
  <c r="H666" i="22"/>
  <c r="H438" i="21"/>
  <c r="I1350" i="22"/>
  <c r="G172" i="21"/>
  <c r="H210" i="5"/>
  <c r="F248" i="21"/>
  <c r="H1616" i="22"/>
  <c r="F286" i="22"/>
  <c r="F1578" i="21"/>
  <c r="H248" i="21"/>
  <c r="H1578" i="21"/>
  <c r="I1426" i="21"/>
  <c r="I666" i="21"/>
  <c r="J780" i="22"/>
  <c r="H1654" i="22"/>
  <c r="H1312" i="22"/>
  <c r="I818" i="22"/>
  <c r="J96" i="5"/>
  <c r="G514" i="22"/>
  <c r="I1046" i="21"/>
  <c r="H1046" i="21"/>
  <c r="H134" i="18"/>
  <c r="J1274" i="22"/>
  <c r="F1274" i="21"/>
  <c r="I134" i="18"/>
  <c r="I894" i="21"/>
  <c r="H210" i="21"/>
  <c r="H1274" i="22"/>
  <c r="I590" i="21"/>
  <c r="G476" i="21"/>
  <c r="H58" i="13"/>
  <c r="G1388" i="22"/>
  <c r="H96" i="13"/>
  <c r="G324" i="22"/>
  <c r="G134" i="5"/>
  <c r="F286" i="21"/>
  <c r="J1160" i="21"/>
  <c r="J324" i="15"/>
  <c r="J1464" i="21"/>
  <c r="F58" i="13"/>
  <c r="H20" i="15"/>
  <c r="H894" i="21"/>
  <c r="J210" i="21"/>
  <c r="G248" i="21"/>
  <c r="I58" i="18"/>
  <c r="H476" i="14"/>
  <c r="G1312" i="22"/>
  <c r="F324" i="22"/>
  <c r="G514" i="21"/>
  <c r="F438" i="14"/>
  <c r="F20" i="21"/>
  <c r="I1388" i="22"/>
  <c r="H20" i="18"/>
  <c r="F20" i="5"/>
  <c r="H362" i="21"/>
  <c r="H1464" i="22"/>
  <c r="J286" i="21"/>
  <c r="H1388" i="22"/>
  <c r="G1730" i="22"/>
  <c r="H20" i="14"/>
  <c r="J1160" i="22"/>
  <c r="I1198" i="21"/>
  <c r="F96" i="18"/>
  <c r="J1578" i="21"/>
  <c r="G704" i="21"/>
  <c r="G1464" i="22"/>
  <c r="J666" i="21"/>
  <c r="I96" i="5"/>
  <c r="I248" i="22"/>
  <c r="G58" i="13"/>
  <c r="G780" i="22"/>
  <c r="G1350" i="22"/>
  <c r="G134" i="18"/>
  <c r="F666" i="21"/>
  <c r="H1084" i="22"/>
  <c r="F324" i="21"/>
  <c r="I1464" i="21"/>
  <c r="I324" i="15"/>
  <c r="H20" i="22"/>
  <c r="I134" i="22"/>
  <c r="G1692" i="22"/>
  <c r="G1198" i="21"/>
  <c r="F1084" i="21"/>
  <c r="G20" i="22"/>
  <c r="J1236" i="22"/>
  <c r="J1198" i="21"/>
  <c r="I1236" i="22"/>
  <c r="H818" i="21"/>
  <c r="J324" i="22"/>
  <c r="I58" i="21"/>
  <c r="I210" i="15"/>
  <c r="H1198" i="22"/>
  <c r="I1768" i="22"/>
  <c r="G1388" i="21"/>
  <c r="H590" i="22"/>
  <c r="G58" i="21"/>
  <c r="J210" i="15"/>
  <c r="F134" i="21"/>
  <c r="H1388" i="21"/>
  <c r="F1160" i="22"/>
  <c r="H628" i="22"/>
  <c r="G1236" i="21"/>
  <c r="H552" i="22"/>
  <c r="F932" i="21"/>
  <c r="J248" i="22"/>
  <c r="I1464" i="22"/>
  <c r="G856" i="22"/>
  <c r="I1502" i="21"/>
  <c r="J476" i="22"/>
  <c r="G1502" i="22"/>
  <c r="G1236" i="22"/>
  <c r="H134" i="21"/>
  <c r="I514" i="22"/>
  <c r="F58" i="15"/>
  <c r="J20" i="5"/>
  <c r="I20" i="15"/>
  <c r="F1350" i="22"/>
  <c r="F1008" i="21"/>
  <c r="F476" i="22"/>
  <c r="H20" i="13"/>
  <c r="F58" i="14"/>
  <c r="H1768" i="22"/>
  <c r="F438" i="22"/>
  <c r="H96" i="21"/>
  <c r="F1388" i="21"/>
  <c r="J704" i="22"/>
  <c r="F20" i="22"/>
  <c r="H856" i="22"/>
  <c r="G818" i="22"/>
  <c r="G1160" i="21"/>
  <c r="J514" i="22"/>
  <c r="I590" i="22"/>
  <c r="G666" i="22"/>
  <c r="F552" i="21"/>
  <c r="F172" i="18"/>
  <c r="J1312" i="21"/>
  <c r="I20" i="13"/>
  <c r="I856" i="21"/>
  <c r="F894" i="22"/>
  <c r="G1084" i="22"/>
  <c r="J552" i="22"/>
  <c r="I324" i="21"/>
  <c r="I20" i="14"/>
  <c r="J1388" i="21"/>
  <c r="J58" i="15"/>
  <c r="F742" i="22"/>
  <c r="F590" i="14"/>
  <c r="I628" i="22"/>
  <c r="J856" i="22"/>
  <c r="I20" i="21"/>
  <c r="H172" i="21"/>
  <c r="H172" i="22"/>
  <c r="H1350" i="22"/>
  <c r="J1616" i="22"/>
  <c r="J628" i="22"/>
  <c r="J1084" i="22"/>
  <c r="H666" i="21"/>
  <c r="I20" i="22"/>
  <c r="H20" i="21"/>
  <c r="G552" i="22"/>
  <c r="G590" i="14"/>
  <c r="G96" i="18"/>
  <c r="G96" i="13"/>
  <c r="J58" i="5"/>
  <c r="H96" i="22"/>
  <c r="I1312" i="21"/>
  <c r="J742" i="22"/>
  <c r="H286" i="15"/>
  <c r="G932" i="21"/>
  <c r="I1502" i="22"/>
  <c r="G362" i="22"/>
  <c r="G628" i="22"/>
  <c r="G704" i="22"/>
  <c r="J1084" i="21"/>
  <c r="F286" i="15"/>
  <c r="H1160" i="21"/>
  <c r="H514" i="21"/>
  <c r="F172" i="22"/>
  <c r="H362" i="22"/>
  <c r="F1426" i="21"/>
  <c r="G362" i="21"/>
  <c r="F1616" i="22"/>
  <c r="H438" i="14"/>
  <c r="J172" i="5"/>
  <c r="G666" i="21"/>
  <c r="H742" i="22"/>
  <c r="J20" i="18"/>
  <c r="F628" i="22"/>
  <c r="I1122" i="21"/>
  <c r="F476" i="14"/>
  <c r="J1274" i="21"/>
  <c r="J400" i="22"/>
  <c r="H58" i="21"/>
  <c r="G476" i="14"/>
  <c r="J590" i="22"/>
  <c r="F96" i="22"/>
  <c r="J552" i="14"/>
  <c r="I666" i="22"/>
  <c r="J894" i="21"/>
  <c r="I1654" i="22"/>
  <c r="I172" i="5"/>
  <c r="H286" i="21"/>
  <c r="I286" i="15"/>
  <c r="I1540" i="21"/>
  <c r="F96" i="5"/>
  <c r="I818" i="21"/>
  <c r="I400" i="21"/>
  <c r="H1046" i="22"/>
  <c r="I1388" i="21"/>
  <c r="H1084" i="21"/>
  <c r="H1730" i="22"/>
  <c r="J1502" i="22"/>
  <c r="H514" i="22"/>
  <c r="G1312" i="21"/>
  <c r="J818" i="21"/>
  <c r="H96" i="18"/>
  <c r="G742" i="21"/>
  <c r="I514" i="21"/>
  <c r="F1274" i="22"/>
  <c r="G58" i="14"/>
  <c r="I20" i="5"/>
  <c r="F1502" i="22"/>
  <c r="F1122" i="21"/>
  <c r="H1160" i="22"/>
  <c r="G1160" i="22"/>
  <c r="F1046" i="22"/>
  <c r="H932" i="21"/>
  <c r="F1198" i="22"/>
  <c r="F514" i="21"/>
  <c r="H552" i="21"/>
  <c r="I742" i="22"/>
  <c r="I1274" i="21"/>
  <c r="F552" i="14"/>
  <c r="F20" i="18"/>
  <c r="I286" i="22"/>
  <c r="G932" i="22"/>
  <c r="F210" i="5"/>
  <c r="F96" i="21"/>
  <c r="J96" i="21"/>
  <c r="J476" i="21"/>
  <c r="F58" i="5"/>
  <c r="J20" i="21"/>
  <c r="J590" i="21"/>
  <c r="F134" i="5"/>
  <c r="G1274" i="21"/>
  <c r="J172" i="21"/>
  <c r="J1312" i="22"/>
  <c r="H134" i="22"/>
  <c r="I172" i="22"/>
  <c r="J172" i="22"/>
  <c r="G248" i="22"/>
  <c r="H96" i="5"/>
  <c r="H400" i="21"/>
  <c r="J438" i="14"/>
  <c r="G742" i="22"/>
  <c r="H476" i="22"/>
  <c r="J362" i="22"/>
  <c r="G400" i="22"/>
  <c r="F1730" i="22"/>
  <c r="F248" i="22"/>
  <c r="J96" i="22"/>
  <c r="J780" i="21"/>
  <c r="J552" i="21"/>
  <c r="J286" i="15"/>
  <c r="H324" i="22"/>
  <c r="H172" i="18"/>
  <c r="J894" i="22"/>
  <c r="I1578" i="21"/>
  <c r="F1084" i="22"/>
  <c r="F780" i="21"/>
  <c r="H704" i="22"/>
  <c r="J286" i="22"/>
  <c r="F1464" i="22"/>
  <c r="G1578" i="21"/>
  <c r="G286" i="21"/>
  <c r="J58" i="14"/>
  <c r="J1350" i="22"/>
  <c r="J932" i="22"/>
  <c r="G438" i="22"/>
  <c r="I1008" i="21"/>
  <c r="I742" i="21"/>
  <c r="H1236" i="22"/>
  <c r="I1312" i="22"/>
  <c r="I1084" i="22"/>
  <c r="F552" i="22"/>
  <c r="I362" i="22"/>
  <c r="F58" i="21"/>
  <c r="J590" i="14"/>
  <c r="G1122" i="21"/>
  <c r="J20" i="14"/>
  <c r="H1198" i="21"/>
  <c r="J96" i="18"/>
  <c r="F1806" i="22"/>
  <c r="G286" i="15"/>
  <c r="J1198" i="22"/>
  <c r="H818" i="22"/>
  <c r="H438" i="22"/>
  <c r="G400" i="21"/>
  <c r="H476" i="21"/>
  <c r="F58" i="22"/>
  <c r="I1160" i="21"/>
  <c r="G172" i="22"/>
  <c r="J134" i="22"/>
  <c r="H780" i="21"/>
  <c r="G1046" i="22"/>
  <c r="F742" i="21"/>
  <c r="I96" i="21"/>
  <c r="G96" i="5"/>
  <c r="F818" i="22"/>
  <c r="I476" i="14"/>
  <c r="F58" i="18"/>
  <c r="F932" i="22"/>
  <c r="H134" i="5"/>
  <c r="G172" i="5"/>
  <c r="J856" i="21"/>
  <c r="I438" i="21"/>
  <c r="G476" i="22"/>
  <c r="F1160" i="21"/>
  <c r="I96" i="18"/>
  <c r="I1084" i="21"/>
  <c r="I856" i="22"/>
  <c r="I1730" i="22"/>
  <c r="H1274" i="21"/>
  <c r="J1540" i="21"/>
  <c r="G1616" i="22"/>
  <c r="J1768" i="22"/>
  <c r="H1692" i="22"/>
  <c r="F400" i="22"/>
  <c r="F704" i="21"/>
  <c r="F362" i="21"/>
  <c r="H58" i="15"/>
  <c r="I552" i="22"/>
  <c r="J1654" i="22"/>
  <c r="H248" i="15"/>
  <c r="J400" i="21"/>
  <c r="F362" i="22"/>
  <c r="H1122" i="21"/>
  <c r="I96" i="22"/>
  <c r="F780" i="22"/>
  <c r="G20" i="18"/>
  <c r="I1160" i="22"/>
  <c r="G1464" i="21"/>
  <c r="J742" i="21"/>
  <c r="G590" i="21"/>
  <c r="F1692" i="22"/>
  <c r="I134" i="21"/>
  <c r="J96" i="13"/>
  <c r="J58" i="21"/>
  <c r="G96" i="15"/>
  <c r="H324" i="21"/>
  <c r="G628" i="21"/>
  <c r="H1502" i="22"/>
  <c r="H172" i="5"/>
  <c r="J438" i="21"/>
  <c r="G58" i="15"/>
  <c r="J1806" i="22"/>
  <c r="H1464" i="21"/>
  <c r="G58" i="5"/>
  <c r="I58" i="15"/>
  <c r="F210" i="21"/>
  <c r="G20" i="21"/>
  <c r="F1046" i="21"/>
  <c r="G438" i="14"/>
  <c r="H1008" i="21"/>
  <c r="G818" i="21"/>
  <c r="I134" i="5"/>
  <c r="F1198" i="21"/>
  <c r="H932" i="22"/>
  <c r="F856" i="22"/>
  <c r="J1236" i="21"/>
  <c r="F134" i="22"/>
  <c r="G780" i="21"/>
  <c r="F20" i="15"/>
  <c r="G1008" i="21"/>
  <c r="I172" i="18"/>
  <c r="G96" i="22"/>
  <c r="J1008" i="21"/>
  <c r="G1084" i="21"/>
  <c r="H552" i="14"/>
  <c r="H400" i="22"/>
  <c r="F96" i="15"/>
  <c r="I1274" i="22"/>
  <c r="F210" i="22"/>
  <c r="F476" i="21"/>
  <c r="J1692" i="22"/>
  <c r="F1502" i="21"/>
  <c r="F704" i="22"/>
  <c r="I248" i="15"/>
  <c r="F1236" i="21"/>
  <c r="J96" i="15"/>
  <c r="I552" i="21"/>
  <c r="F818" i="21"/>
  <c r="I780" i="22"/>
  <c r="J1388" i="22"/>
  <c r="G20" i="15"/>
  <c r="G58" i="22"/>
  <c r="J20" i="22"/>
  <c r="G1198" i="22"/>
  <c r="I1806" i="22"/>
  <c r="I476" i="22"/>
  <c r="J438" i="22"/>
  <c r="G12" i="22" l="1"/>
  <c r="K12" i="15"/>
  <c r="K13" i="15"/>
  <c r="K12" i="21"/>
  <c r="K15" i="21" s="1"/>
  <c r="K12" i="18"/>
  <c r="G12" i="14"/>
  <c r="G12" i="21"/>
  <c r="G15" i="21" s="1"/>
  <c r="K13" i="18"/>
  <c r="G13" i="5"/>
  <c r="G12" i="18"/>
  <c r="G14" i="21"/>
  <c r="G13" i="22"/>
  <c r="G13" i="21"/>
  <c r="G13" i="14"/>
  <c r="G13" i="13"/>
  <c r="K13" i="22"/>
  <c r="G14" i="13"/>
  <c r="G13" i="15"/>
  <c r="G12" i="5"/>
  <c r="K12" i="22"/>
  <c r="G14" i="22"/>
  <c r="G14" i="14"/>
  <c r="K13" i="5"/>
  <c r="G14" i="18"/>
  <c r="K13" i="21"/>
  <c r="G14" i="15"/>
  <c r="G13" i="18"/>
  <c r="K13" i="13"/>
  <c r="G12" i="15"/>
  <c r="G15" i="15" s="1"/>
  <c r="G14" i="5"/>
  <c r="K13" i="14"/>
  <c r="K12" i="13"/>
  <c r="K15" i="13" s="1"/>
  <c r="G12" i="13"/>
  <c r="K12" i="14"/>
  <c r="K12" i="5"/>
  <c r="H12" i="21" l="1"/>
  <c r="L13" i="21"/>
  <c r="H13" i="21"/>
  <c r="L12" i="21"/>
  <c r="L15" i="21" s="1"/>
  <c r="L14" i="21"/>
  <c r="H14" i="21"/>
  <c r="K15" i="18"/>
  <c r="G15" i="5"/>
  <c r="K15" i="15"/>
  <c r="G15" i="14"/>
  <c r="L13" i="15"/>
  <c r="L14" i="15"/>
  <c r="L12" i="15"/>
  <c r="L15" i="15" s="1"/>
  <c r="H13" i="15"/>
  <c r="H14" i="15"/>
  <c r="H12" i="15"/>
  <c r="H15" i="15" s="1"/>
  <c r="K15" i="22"/>
  <c r="K15" i="5"/>
  <c r="K15" i="14"/>
  <c r="G15" i="18"/>
  <c r="G15" i="13"/>
  <c r="G15" i="22"/>
  <c r="H12" i="13" l="1"/>
  <c r="H13" i="13"/>
  <c r="L12" i="13"/>
  <c r="L14" i="13"/>
  <c r="L13" i="13"/>
  <c r="H14" i="13"/>
  <c r="H14" i="5"/>
  <c r="L14" i="5"/>
  <c r="H12" i="5"/>
  <c r="L12" i="5"/>
  <c r="L13" i="5"/>
  <c r="H13" i="5"/>
  <c r="H12" i="22"/>
  <c r="L13" i="22"/>
  <c r="H13" i="22"/>
  <c r="L12" i="22"/>
  <c r="L14" i="22"/>
  <c r="H14" i="22"/>
  <c r="L12" i="14"/>
  <c r="H12" i="14"/>
  <c r="H13" i="14"/>
  <c r="H14" i="14"/>
  <c r="L13" i="14"/>
  <c r="L14" i="14"/>
  <c r="L13" i="18"/>
  <c r="H13" i="18"/>
  <c r="L14" i="18"/>
  <c r="L12" i="18"/>
  <c r="L15" i="18" s="1"/>
  <c r="H12" i="18"/>
  <c r="H14" i="18"/>
  <c r="H15" i="21"/>
  <c r="L15" i="22" l="1"/>
  <c r="H15" i="22"/>
  <c r="L15" i="13"/>
  <c r="L15" i="5"/>
  <c r="H15" i="18"/>
  <c r="H15" i="14"/>
  <c r="L15" i="14"/>
  <c r="H15" i="5"/>
  <c r="H1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<sst xmlns="http://schemas.openxmlformats.org/spreadsheetml/2006/main" count="3028" uniqueCount="513">
  <si>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</si>
  <si>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</si>
  <si>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</si>
  <si>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</si>
  <si>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</si>
  <si>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</si>
  <si>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</si>
  <si>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</si>
  <si>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</si>
  <si>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</si>
  <si>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</si>
  <si>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</si>
  <si>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</si>
  <si>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</si>
  <si>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</si>
  <si>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</si>
  <si>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</si>
  <si>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</si>
  <si>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</si>
  <si>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</si>
  <si>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</si>
  <si>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</si>
  <si>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</si>
  <si>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</si>
  <si>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</si>
  <si>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</si>
  <si>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</si>
  <si>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</si>
  <si>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</si>
  <si>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</si>
  <si>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</si>
  <si>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</si>
  <si>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</si>
  <si>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</si>
  <si>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</si>
  <si>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</si>
  <si>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</si>
  <si>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</si>
  <si>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</si>
  <si>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</si>
  <si>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</si>
  <si>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</si>
  <si>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</si>
  <si>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</si>
  <si>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</si>
  <si>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</si>
  <si>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</si>
  <si>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</si>
  <si>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</si>
  <si>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</si>
  <si>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</si>
  <si>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</si>
  <si>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</si>
  <si>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</si>
  <si>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</si>
  <si>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</si>
  <si>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</si>
  <si>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</si>
  <si>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</si>
  <si>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</si>
  <si>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</si>
  <si>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</si>
  <si>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</si>
  <si>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</si>
  <si>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</si>
  <si>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</si>
  <si>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</si>
  <si>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</si>
  <si>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</si>
  <si>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</si>
  <si>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</si>
  <si>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</si>
  <si>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</si>
  <si>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</si>
  <si>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</si>
  <si>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</si>
  <si>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</si>
  <si>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</si>
  <si>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</si>
  <si>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</si>
  <si>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</si>
  <si>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</si>
  <si>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</si>
  <si>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</si>
  <si>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</si>
  <si>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</si>
  <si>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</si>
  <si>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</si>
  <si>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</si>
  <si>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</si>
  <si>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</si>
  <si>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</si>
  <si>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</si>
  <si>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</si>
  <si>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</si>
  <si>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</si>
  <si>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</si>
  <si>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</si>
  <si>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</si>
  <si>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</si>
  <si>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</si>
  <si>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</si>
  <si>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</si>
  <si>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</si>
  <si>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</si>
  <si>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</si>
  <si>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</si>
  <si>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</si>
  <si>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</si>
  <si>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</si>
  <si>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</si>
  <si>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</si>
  <si>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</si>
  <si>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</si>
  <si>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</si>
  <si>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</si>
  <si>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</si>
  <si>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</si>
  <si>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</si>
  <si>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</si>
  <si>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</si>
  <si>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</si>
  <si>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</si>
  <si>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</si>
  <si>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</si>
  <si>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</si>
  <si>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</si>
  <si>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</si>
  <si>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</si>
  <si>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</si>
  <si>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</si>
  <si>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</si>
  <si>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</si>
  <si>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</si>
  <si>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</si>
  <si>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</si>
  <si>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</si>
  <si>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</si>
  <si>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</si>
  <si>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</si>
  <si>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</si>
  <si>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</si>
  <si>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</si>
  <si>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</si>
  <si>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</si>
  <si>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</si>
  <si>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</si>
  <si>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</si>
  <si>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</si>
  <si>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</si>
  <si>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</si>
  <si>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</si>
  <si>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</si>
  <si>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</si>
  <si>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</si>
  <si>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</si>
  <si>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</si>
  <si>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</si>
  <si>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</si>
  <si>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</si>
  <si>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</si>
  <si>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</si>
  <si>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</si>
  <si>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</si>
  <si>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</si>
  <si>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</si>
  <si>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</si>
  <si>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</si>
  <si>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</si>
  <si>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</si>
  <si>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</si>
  <si>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</si>
  <si>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</si>
  <si>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</si>
  <si>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</si>
  <si>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</si>
  <si>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</si>
  <si>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</si>
  <si>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</si>
  <si>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</si>
  <si>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</si>
  <si>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</si>
  <si>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</si>
  <si>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</si>
  <si>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</si>
  <si>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</si>
  <si>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</si>
  <si>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</si>
  <si>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</si>
  <si>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</si>
  <si>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</si>
  <si>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</si>
  <si>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</si>
  <si>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</si>
  <si>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</si>
  <si>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</si>
  <si>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</si>
  <si>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</si>
  <si>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</si>
  <si>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</si>
  <si>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</si>
  <si>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</si>
  <si>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</si>
  <si>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</si>
  <si>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</si>
  <si>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</si>
  <si>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</si>
  <si>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</si>
  <si>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</si>
  <si>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</si>
  <si>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</si>
  <si>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</si>
  <si>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</si>
  <si>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</si>
  <si>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</si>
  <si>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</si>
  <si>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</si>
  <si>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</si>
  <si>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</si>
  <si>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</si>
  <si>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</si>
  <si>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</si>
  <si>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</si>
  <si>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</si>
  <si>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</si>
  <si>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</si>
  <si>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</si>
  <si>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</si>
  <si>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</si>
  <si>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</si>
  <si>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</si>
  <si>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</si>
  <si>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</si>
  <si>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</si>
  <si>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</si>
  <si>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</si>
  <si>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</si>
  <si>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</si>
  <si>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</si>
  <si>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</si>
  <si>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</si>
  <si>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</si>
  <si>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</si>
  <si>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</si>
  <si>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</si>
  <si>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</si>
  <si>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</si>
  <si>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</si>
  <si>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</si>
  <si>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</si>
  <si>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</si>
  <si>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</si>
  <si>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</si>
  <si>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</si>
  <si>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</si>
  <si>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</si>
  <si>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</si>
  <si>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</si>
  <si>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</si>
  <si>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</si>
  <si>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</si>
  <si>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</si>
  <si>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</si>
  <si>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</si>
  <si>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</si>
  <si>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</si>
  <si>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</si>
  <si>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</si>
  <si>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</si>
  <si>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</si>
  <si>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</si>
  <si>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</si>
  <si>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</si>
  <si>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</si>
  <si>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</si>
  <si>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</si>
  <si>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</si>
  <si>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</si>
  <si>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</si>
  <si>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</si>
  <si>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</si>
  <si>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</si>
  <si>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</si>
  <si>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</si>
  <si>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</si>
  <si>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</si>
  <si>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</si>
  <si>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</si>
  <si>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</si>
  <si>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</si>
  <si>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</si>
  <si>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</si>
  <si>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</si>
  <si>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</si>
  <si>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</si>
  <si>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</si>
  <si>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</si>
  <si>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</si>
  <si>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</si>
  <si>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</si>
  <si>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</si>
  <si>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</si>
  <si>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</si>
  <si>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</si>
  <si>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</si>
  <si>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</si>
  <si>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</si>
  <si>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</si>
  <si>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</si>
  <si>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</si>
  <si>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</si>
  <si>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</si>
  <si>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</si>
  <si>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</si>
  <si>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</si>
  <si>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</si>
  <si>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</si>
  <si>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</si>
  <si>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</si>
  <si>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</si>
  <si>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</si>
  <si>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</si>
  <si>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</si>
  <si>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</si>
  <si>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</si>
  <si>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</si>
  <si>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</si>
  <si>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</si>
  <si>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</si>
  <si>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</si>
  <si>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</si>
  <si>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</si>
  <si>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</si>
  <si>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</si>
  <si>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</si>
  <si>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</si>
  <si>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</si>
  <si>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</si>
  <si>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</si>
  <si>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</si>
  <si>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</si>
  <si>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</si>
  <si>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</si>
  <si>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</si>
  <si>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</si>
  <si>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</si>
  <si>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</si>
  <si>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</si>
  <si>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</si>
  <si>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</si>
  <si>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</si>
  <si>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</si>
  <si>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</si>
  <si>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</si>
  <si>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</si>
  <si>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</si>
  <si>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</si>
  <si>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</si>
  <si>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</si>
  <si>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</si>
  <si>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</si>
  <si>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</si>
  <si>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</si>
  <si>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</si>
  <si>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</si>
  <si>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</si>
  <si>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</si>
  <si>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</si>
  <si>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</si>
  <si>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</si>
  <si>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</si>
  <si>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</si>
  <si>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</si>
  <si>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</si>
  <si>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</si>
  <si>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</si>
  <si>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</si>
  <si>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</si>
  <si>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</si>
  <si>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</si>
  <si>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</si>
  <si>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</si>
  <si>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</si>
  <si>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</si>
  <si>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</si>
  <si>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</si>
  <si>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</si>
  <si>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</si>
  <si>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</si>
  <si>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</si>
  <si>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</si>
  <si>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</si>
  <si>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</si>
  <si>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</si>
  <si>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</si>
  <si>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</si>
  <si>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</si>
  <si>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</si>
  <si>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</si>
  <si>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</si>
  <si>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</si>
  <si>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</si>
  <si>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</si>
  <si>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</si>
  <si>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</si>
  <si>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</si>
  <si>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</si>
  <si>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</si>
  <si>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</si>
  <si>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</si>
  <si>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</si>
  <si>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</si>
  <si>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</si>
  <si>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</si>
  <si>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</si>
  <si>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</si>
  <si>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</si>
  <si>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</si>
  <si>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</si>
  <si>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</si>
  <si>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</si>
  <si>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</si>
  <si>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</si>
  <si>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</si>
  <si>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</si>
  <si>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</si>
  <si>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</si>
  <si>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</si>
  <si>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</si>
  <si>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</si>
  <si>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</si>
  <si>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</si>
  <si>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</si>
  <si>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</si>
  <si>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</si>
  <si>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</si>
  <si>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</si>
  <si>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</si>
  <si>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</si>
  <si>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</si>
  <si>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</si>
  <si>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</si>
  <si>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</si>
  <si>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</si>
  <si>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</si>
  <si>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</si>
  <si>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</si>
  <si>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</si>
  <si>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</si>
  <si>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</si>
  <si>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</si>
  <si>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</si>
  <si>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</si>
  <si>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</si>
  <si>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</si>
  <si>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</si>
  <si>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</si>
  <si>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</si>
  <si>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</si>
  <si>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</si>
  <si>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</si>
  <si>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</si>
  <si>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</si>
  <si>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</si>
  <si>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</si>
  <si>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</si>
  <si>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</si>
  <si>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</si>
  <si>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</si>
  <si>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</si>
  <si>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</si>
  <si>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</si>
  <si>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</si>
  <si>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</si>
  <si>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</si>
  <si>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</si>
  <si>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</si>
  <si>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</si>
  <si>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</si>
  <si>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</si>
  <si>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MADRID DIGITAL</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</si>
  <si>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</si>
  <si>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Se revisan las páginas del dominio</t>
  </si>
  <si>
    <t>Atención Primaria</t>
  </si>
  <si>
    <t>Portal de Atención Primaria</t>
  </si>
  <si>
    <t xml:space="preserve">https://www.comunidad.madrid/hospital/atencionprimaria	</t>
  </si>
  <si>
    <t>Home</t>
  </si>
  <si>
    <t>https://www.comunidad.madrid/hospital/atencionprimaria/home</t>
  </si>
  <si>
    <t>Página Web</t>
  </si>
  <si>
    <t>Ciudadanos</t>
  </si>
  <si>
    <t>https://www.comunidad.madrid/hospital/atencionprimaria/ciudadanos</t>
  </si>
  <si>
    <t>Home - Ciudadanos</t>
  </si>
  <si>
    <t>Profesionales</t>
  </si>
  <si>
    <t>https://www.comunidad.madrid/hospital/atencionprimaria/profesionales</t>
  </si>
  <si>
    <t>Home - Profesionales</t>
  </si>
  <si>
    <t>Comunicación</t>
  </si>
  <si>
    <t>https://www.comunidad.madrid/hospital/atencionprimaria/comunicación</t>
  </si>
  <si>
    <t>Home - Comunicación</t>
  </si>
  <si>
    <t>Nosotros</t>
  </si>
  <si>
    <t>https://www.comunidad.madrid/hospital/atencionprimaria/nosotros</t>
  </si>
  <si>
    <t>Home - Nosotros</t>
  </si>
  <si>
    <t>Videoteca</t>
  </si>
  <si>
    <t>https://www.comunidad.madrid/hospital/atencionprimaria/videoteca</t>
  </si>
  <si>
    <t>Home - Comunicación - Videoteca</t>
  </si>
  <si>
    <t>Accesibilidad</t>
  </si>
  <si>
    <t>Mapa Web</t>
  </si>
  <si>
    <t>https://www.comunidad.madrid/hospital/atencionprimaria/declaracion-accesibilidad</t>
  </si>
  <si>
    <t>https://www.comunidad.madrid/hospital/atencionprimaria/aviso-legal-privacidad</t>
  </si>
  <si>
    <t>https://www.comunidad.madrid/hospital/atencionprimaria/sitemap</t>
  </si>
  <si>
    <t>Footer - Accesibilidad</t>
  </si>
  <si>
    <t>Footer - Mapa Web</t>
  </si>
  <si>
    <t>Aviso Legal - Privacidad</t>
  </si>
  <si>
    <t>Footer - Aviso Legal-Privacidad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</si>
</sst>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ill>
        <patternFill>
          <bgColor rgb="FF00B050"/>
        </patternFill>
      </fill>
    </dxf>
    <dxf>
      <fill>
        <patternFill>
          <bgColor rgb="FFFF0000"/>
        </patternFill>
      </fill>
    </dxf>
    <dxf>
      <font>
        <b/>
        <i val="0"/>
        <sz val="10"/>
        <color rgb="FF006600"/>
        <name val="Arial"/>
      </font>
      <fill>
        <patternFill>
          <bgColor rgb="FFEDF9F4"/>
        </patternFill>
      </fill>
    </dxf>
    <dxf>
      <font>
        <b/>
        <i val="0"/>
        <strike val="0"/>
        <outline val="0"/>
        <shadow val="0"/>
        <u val="none"/>
        <sz val="8"/>
        <color rgb="FFCC0000"/>
        <name val="Arial"/>
      </font>
      <fill>
        <patternFill>
          <bgColor rgb="FFFDEAEC"/>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alignment horizontal="center" vertical="bottom" textRotation="0" wrapText="0" indent="0" shrinkToFit="0"/>
    </dxf>
    <dxf>
      <font>
        <b/>
        <i val="0"/>
        <strike val="0"/>
        <outline val="0"/>
        <shadow val="0"/>
        <u val="none"/>
        <sz val="8"/>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205" zoomScale="122" zoomScaleNormal="122" workbookViewId="0">
      <selection activeCell="D209" sqref="D209:D217"/>
    </sheetView>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54</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54</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https://www.comunidad.madrid/hospital/atencionprimaria/home</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https://www.comunidad.madrid/hospital/atencionprimaria/ciudadanos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https://www.comunidad.madrid/hospital/atencionprimaria/profesionales</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https://www.comunidad.madrid/hospital/atencionprimaria/comunicación</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https://www.comunidad.madrid/hospital/atencionprimaria/nosotros</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Videoteca</v>
      </c>
      <c r="C24" s="85" t="str" cm="1">
        <f t="array" ref="C24">IFERROR(INDEX('03.Muestra'!$F$8:$F$42,SMALL(IF("Página Web"='03.Muestra'!$D$8:$D$42,ROW('03.Muestra'!$F$8:$F$42)-MIN(ROW('03.Muestra'!$D$8:$D$42))+1,""),ROW()-18)),"")</f>
        <v>https://www.comunidad.madrid/hospital/atencionprimaria/videoteca</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https://www.comunidad.madrid/hospital/atencionprimaria/declaracion-accesibilidad</v>
      </c>
      <c r="D25" s="99" t="s">
        <v>104</v>
      </c>
      <c r="E25" s="79" t="str">
        <f t="shared" si="0"/>
        <v/>
      </c>
      <c r="F25" s="18"/>
      <c r="G25" s="18"/>
      <c r="H25" s="18"/>
      <c r="I25" s="18"/>
      <c r="J25" s="18"/>
      <c r="L25" s="92"/>
    </row>
    <row r="26" spans="1:13"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 - Privacidad</v>
      </c>
      <c r="C26" s="85" t="str" cm="1">
        <f t="array" ref="C26">IFERROR(INDEX('03.Muestra'!$F$8:$F$42,SMALL(IF("Página Web"='03.Muestra'!$D$8:$D$42,ROW('03.Muestra'!$F$8:$F$42)-MIN(ROW('03.Muestra'!$D$8:$D$42))+1,""),ROW()-18)),"")</f>
        <v>https://www.comunidad.madrid/hospital/atencionprimaria/aviso-legal-privacidad</v>
      </c>
      <c r="D26" s="99" t="s">
        <v>104</v>
      </c>
      <c r="E26" s="79" t="str">
        <f t="shared" si="0"/>
        <v/>
      </c>
      <c r="F26" s="18"/>
      <c r="G26" s="18"/>
      <c r="H26" s="18"/>
      <c r="I26" s="18"/>
      <c r="J26" s="18"/>
      <c r="K26" s="18"/>
    </row>
    <row r="27" spans="1:13"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https://www.comunidad.madrid/hospital/atencionprimaria/sitemap</v>
      </c>
      <c r="D27" s="99" t="s">
        <v>104</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https://www.comunidad.madrid/hospital/atencionprimaria/home</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https://www.comunidad.madrid/hospital/atencionprimaria/ciudadanos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https://www.comunidad.madrid/hospital/atencionprimaria/profesionales</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https://www.comunidad.madrid/hospital/atencionprimaria/comunicación</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https://www.comunidad.madrid/hospital/atencionprimaria/nosotros</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Videoteca</v>
      </c>
      <c r="C62" s="85" t="str" cm="1">
        <f t="array" ref="C62">IFERROR(INDEX('03.Muestra'!$F$8:$F$42,SMALL(IF("Página Web"='03.Muestra'!$D$8:$D$42,ROW('03.Muestra'!$F$8:$F$42)-MIN(ROW('03.Muestra'!$D$8:$D$42))+1,""),ROW()-56)),"")</f>
        <v>https://www.comunidad.madrid/hospital/atencionprimaria/videoteca</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https://www.comunidad.madrid/hospital/atencionprimaria/declaracion-accesibilidad</v>
      </c>
      <c r="D63" s="99" t="s">
        <v>104</v>
      </c>
      <c r="E63" s="79" t="str">
        <f t="shared" si="2"/>
        <v/>
      </c>
      <c r="F63" s="18"/>
      <c r="G63" s="18"/>
      <c r="H63" s="18"/>
      <c r="I63" s="18"/>
      <c r="J63" s="18"/>
      <c r="K63" s="184"/>
    </row>
    <row r="64" spans="1:11"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 - Privacidad</v>
      </c>
      <c r="C64" s="85" t="str" cm="1">
        <f t="array" ref="C64">IFERROR(INDEX('03.Muestra'!$F$8:$F$42,SMALL(IF("Página Web"='03.Muestra'!$D$8:$D$42,ROW('03.Muestra'!$F$8:$F$42)-MIN(ROW('03.Muestra'!$D$8:$D$42))+1,""),ROW()-56)),"")</f>
        <v>https://www.comunidad.madrid/hospital/atencionprimaria/aviso-legal-privacidad</v>
      </c>
      <c r="D64" s="99" t="s">
        <v>104</v>
      </c>
      <c r="E64" s="79" t="str">
        <f t="shared" si="2"/>
        <v/>
      </c>
      <c r="F64" s="18"/>
      <c r="G64" s="18"/>
      <c r="H64" s="18"/>
      <c r="I64" s="18"/>
      <c r="J64" s="18"/>
      <c r="K64" s="184"/>
    </row>
    <row r="65" spans="1:11"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https://www.comunidad.madrid/hospital/atencionprimaria/sitemap</v>
      </c>
      <c r="D65" s="99" t="s">
        <v>104</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https://www.comunidad.madrid/hospital/atencionprimaria/home</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https://www.comunidad.madrid/hospital/atencionprimaria/ciudadanos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https://www.comunidad.madrid/hospital/atencionprimaria/profesionales</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https://www.comunidad.madrid/hospital/atencionprimaria/comunicación</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https://www.comunidad.madrid/hospital/atencionprimaria/nosotros</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Videoteca</v>
      </c>
      <c r="C100" s="85" t="str" cm="1">
        <f t="array" ref="C100">IFERROR(INDEX('03.Muestra'!$F$8:$F$42,SMALL(IF("Página Web"='03.Muestra'!$D$8:$D$42,ROW('03.Muestra'!$F$8:$F$42)-MIN(ROW('03.Muestra'!$D$8:$D$42))+1,""),ROW()-94)),"")</f>
        <v>https://www.comunidad.madrid/hospital/atencionprimaria/videoteca</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https://www.comunidad.madrid/hospital/atencionprimaria/declaracion-accesibilidad</v>
      </c>
      <c r="D101" s="99" t="s">
        <v>104</v>
      </c>
      <c r="E101" s="79" t="str">
        <f t="shared" si="4"/>
        <v/>
      </c>
      <c r="F101" s="18"/>
      <c r="G101" s="18"/>
      <c r="H101" s="18"/>
      <c r="I101" s="18"/>
      <c r="J101" s="18"/>
      <c r="K101" s="184"/>
    </row>
    <row r="102" spans="1:11"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 - Privacidad</v>
      </c>
      <c r="C102" s="85" t="str" cm="1">
        <f t="array" ref="C102">IFERROR(INDEX('03.Muestra'!$F$8:$F$42,SMALL(IF("Página Web"='03.Muestra'!$D$8:$D$42,ROW('03.Muestra'!$F$8:$F$42)-MIN(ROW('03.Muestra'!$D$8:$D$42))+1,""),ROW()-94)),"")</f>
        <v>https://www.comunidad.madrid/hospital/atencionprimaria/aviso-legal-privacidad</v>
      </c>
      <c r="D102" s="99" t="s">
        <v>104</v>
      </c>
      <c r="E102" s="79" t="str">
        <f t="shared" si="4"/>
        <v/>
      </c>
      <c r="F102" s="18"/>
      <c r="G102" s="18"/>
      <c r="H102" s="18"/>
      <c r="I102" s="18"/>
      <c r="J102" s="18"/>
      <c r="K102" s="184"/>
    </row>
    <row r="103" spans="1:11"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https://www.comunidad.madrid/hospital/atencionprimaria/sitemap</v>
      </c>
      <c r="D103" s="99" t="s">
        <v>104</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https://www.comunidad.madrid/hospital/atencionprimaria/home</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https://www.comunidad.madrid/hospital/atencionprimaria/ciudadanos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https://www.comunidad.madrid/hospital/atencionprimaria/profesionales</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https://www.comunidad.madrid/hospital/atencionprimaria/comunicación</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https://www.comunidad.madrid/hospital/atencionprimaria/nosotros</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Videoteca</v>
      </c>
      <c r="C138" s="85" t="str" cm="1">
        <f t="array" ref="C138">IFERROR(INDEX('03.Muestra'!$F$8:$F$42,SMALL(IF("Página Web"='03.Muestra'!$D$8:$D$42,ROW('03.Muestra'!$F$8:$F$42)-MIN(ROW('03.Muestra'!$D$8:$D$42))+1,""),ROW()-132)),"")</f>
        <v>https://www.comunidad.madrid/hospital/atencionprimaria/videoteca</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https://www.comunidad.madrid/hospital/atencionprimaria/declaracion-accesibilidad</v>
      </c>
      <c r="D139" s="99" t="s">
        <v>104</v>
      </c>
      <c r="E139" s="79" t="str">
        <f t="shared" si="6"/>
        <v/>
      </c>
      <c r="F139" s="18"/>
      <c r="G139" s="18"/>
      <c r="H139" s="18"/>
      <c r="I139" s="18"/>
      <c r="J139" s="18"/>
      <c r="K139" s="184"/>
    </row>
    <row r="140" spans="1:11"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 - Privacidad</v>
      </c>
      <c r="C140" s="85" t="str" cm="1">
        <f t="array" ref="C140">IFERROR(INDEX('03.Muestra'!$F$8:$F$42,SMALL(IF("Página Web"='03.Muestra'!$D$8:$D$42,ROW('03.Muestra'!$F$8:$F$42)-MIN(ROW('03.Muestra'!$D$8:$D$42))+1,""),ROW()-132)),"")</f>
        <v>https://www.comunidad.madrid/hospital/atencionprimaria/aviso-legal-privacidad</v>
      </c>
      <c r="D140" s="99" t="s">
        <v>104</v>
      </c>
      <c r="E140" s="79" t="str">
        <f t="shared" si="6"/>
        <v/>
      </c>
      <c r="F140" s="18"/>
      <c r="G140" s="18"/>
      <c r="H140" s="18"/>
      <c r="I140" s="18"/>
      <c r="J140" s="18"/>
      <c r="K140" s="184"/>
    </row>
    <row r="141" spans="1:11"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https://www.comunidad.madrid/hospital/atencionprimaria/sitemap</v>
      </c>
      <c r="D141" s="99" t="s">
        <v>104</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https://www.comunidad.madrid/hospital/atencionprimaria/home</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https://www.comunidad.madrid/hospital/atencionprimaria/ciudadanos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https://www.comunidad.madrid/hospital/atencionprimaria/profesionales</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https://www.comunidad.madrid/hospital/atencionprimaria/comunicación</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https://www.comunidad.madrid/hospital/atencionprimaria/nosotros</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Videoteca</v>
      </c>
      <c r="C176" s="85" t="str" cm="1">
        <f t="array" ref="C176">IFERROR(INDEX('03.Muestra'!$F$8:$F$42,SMALL(IF("Página Web"='03.Muestra'!$D$8:$D$42,ROW('03.Muestra'!$F$8:$F$42)-MIN(ROW('03.Muestra'!$D$8:$D$42))+1,""),ROW()-170)),"")</f>
        <v>https://www.comunidad.madrid/hospital/atencionprimaria/videoteca</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https://www.comunidad.madrid/hospital/atencionprimaria/declaracion-accesibilidad</v>
      </c>
      <c r="D177" s="99" t="s">
        <v>104</v>
      </c>
      <c r="E177" s="79" t="str">
        <f t="shared" si="8"/>
        <v/>
      </c>
      <c r="F177" s="18"/>
      <c r="G177" s="18"/>
      <c r="H177" s="18"/>
      <c r="I177" s="18"/>
      <c r="J177" s="18"/>
      <c r="K177" s="184"/>
    </row>
    <row r="178" spans="1:11"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 - Privacidad</v>
      </c>
      <c r="C178" s="85" t="str" cm="1">
        <f t="array" ref="C178">IFERROR(INDEX('03.Muestra'!$F$8:$F$42,SMALL(IF("Página Web"='03.Muestra'!$D$8:$D$42,ROW('03.Muestra'!$F$8:$F$42)-MIN(ROW('03.Muestra'!$D$8:$D$42))+1,""),ROW()-170)),"")</f>
        <v>https://www.comunidad.madrid/hospital/atencionprimaria/aviso-legal-privacidad</v>
      </c>
      <c r="D178" s="99" t="s">
        <v>104</v>
      </c>
      <c r="E178" s="79" t="str">
        <f t="shared" si="8"/>
        <v/>
      </c>
      <c r="F178" s="18"/>
      <c r="G178" s="18"/>
      <c r="H178" s="18"/>
      <c r="I178" s="18"/>
      <c r="J178" s="18"/>
      <c r="K178" s="184"/>
    </row>
    <row r="179" spans="1:11"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https://www.comunidad.madrid/hospital/atencionprimaria/sitemap</v>
      </c>
      <c r="D179" s="99" t="s">
        <v>104</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https://www.comunidad.madrid/hospital/atencionprimaria/home</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https://www.comunidad.madrid/hospital/atencionprimaria/ciudadanos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https://www.comunidad.madrid/hospital/atencionprimaria/profesionales</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https://www.comunidad.madrid/hospital/atencionprimaria/comunicación</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https://www.comunidad.madrid/hospital/atencionprimaria/nosotros</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Videoteca</v>
      </c>
      <c r="C214" s="85" t="str" cm="1">
        <f t="array" ref="C214">IFERROR(INDEX('03.Muestra'!$F$8:$F$42,SMALL(IF("Página Web"='03.Muestra'!$D$8:$D$42,ROW('03.Muestra'!$F$8:$F$42)-MIN(ROW('03.Muestra'!$D$8:$D$42))+1,""),ROW()-208)),"")</f>
        <v>https://www.comunidad.madrid/hospital/atencionprimaria/videoteca</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https://www.comunidad.madrid/hospital/atencionprimaria/declaracion-accesibilidad</v>
      </c>
      <c r="D215" s="99" t="s">
        <v>104</v>
      </c>
      <c r="E215" s="79" t="str">
        <f t="shared" si="10"/>
        <v/>
      </c>
      <c r="F215" s="18"/>
      <c r="G215" s="18"/>
      <c r="H215" s="18"/>
      <c r="I215" s="18"/>
      <c r="J215" s="18"/>
      <c r="K215" s="184"/>
    </row>
    <row r="216" spans="1:11"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 - Privacidad</v>
      </c>
      <c r="C216" s="85" t="str" cm="1">
        <f t="array" ref="C216">IFERROR(INDEX('03.Muestra'!$F$8:$F$42,SMALL(IF("Página Web"='03.Muestra'!$D$8:$D$42,ROW('03.Muestra'!$F$8:$F$42)-MIN(ROW('03.Muestra'!$D$8:$D$42))+1,""),ROW()-208)),"")</f>
        <v>https://www.comunidad.madrid/hospital/atencionprimaria/aviso-legal-privacidad</v>
      </c>
      <c r="D216" s="99" t="s">
        <v>104</v>
      </c>
      <c r="E216" s="79" t="str">
        <f t="shared" si="10"/>
        <v/>
      </c>
      <c r="F216" s="18"/>
      <c r="G216" s="18"/>
      <c r="H216" s="18"/>
      <c r="I216" s="18"/>
      <c r="J216" s="18"/>
      <c r="K216" s="184"/>
    </row>
    <row r="217" spans="1:11"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https://www.comunidad.madrid/hospital/atencionprimaria/sitemap</v>
      </c>
      <c r="D217" s="99" t="s">
        <v>104</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64" stopIfTrue="1" operator="equal">
      <formula>"Pasa"</formula>
    </cfRule>
    <cfRule type="cellIs" dxfId="113" priority="465" stopIfTrue="1" operator="equal">
      <formula>"Falla"</formula>
    </cfRule>
    <cfRule type="cellIs" dxfId="112" priority="473" stopIfTrue="1" operator="equal">
      <formula>"N/T"</formula>
    </cfRule>
    <cfRule type="cellIs" dxfId="111" priority="472" stopIfTrue="1" operator="equal">
      <formula>"N/A"</formula>
    </cfRule>
    <cfRule type="cellIs" dxfId="110" priority="471" stopIfTrue="1" operator="equal">
      <formula>"Falla"</formula>
    </cfRule>
    <cfRule type="cellIs" dxfId="109" priority="470" stopIfTrue="1" operator="equal">
      <formula>"Pasa"</formula>
    </cfRule>
    <cfRule type="expression" dxfId="108" priority="469" stopIfTrue="1">
      <formula>ISBLANK(D19)</formula>
    </cfRule>
    <cfRule type="cellIs" dxfId="107" priority="468" stopIfTrue="1" operator="equal">
      <formula>"N/D"</formula>
    </cfRule>
    <cfRule type="cellIs" dxfId="106" priority="467" stopIfTrue="1" operator="equal">
      <formula>"N/T"</formula>
    </cfRule>
    <cfRule type="cellIs" dxfId="105" priority="466" stopIfTrue="1" operator="equal">
      <formula>"N/A"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29" stopIfTrue="1" operator="equal">
      <formula>"Falla"</formula>
    </cfRule>
    <cfRule type="cellIs" dxfId="77" priority="430" stopIfTrue="1" operator="equal">
      <formula>"N/A"</formula>
    </cfRule>
    <cfRule type="cellIs" dxfId="76" priority="431" stopIfTrue="1" operator="equal">
      <formula>"N/T"</formula>
    </cfRule>
    <cfRule type="cellIs" dxfId="75" priority="432" stopIfTrue="1" operator="equal">
      <formula>"N/D"</formula>
    </cfRule>
    <cfRule type="expression" dxfId="74" priority="433" stopIfTrue="1">
      <formula>ISBLANK(D133)</formula>
    </cfRule>
    <cfRule type="cellIs" dxfId="73" priority="434" stopIfTrue="1" operator="equal">
      <formula>"Pasa"</formula>
    </cfRule>
    <cfRule type="cellIs" dxfId="72" priority="435" stopIfTrue="1" operator="equal">
      <formula>"Falla"</formula>
    </cfRule>
    <cfRule type="cellIs" dxfId="71" priority="436" stopIfTrue="1" operator="equal">
      <formula>"N/A"</formula>
    </cfRule>
    <cfRule type="cellIs" dxfId="70" priority="437" stopIfTrue="1" operator="equal">
      <formula>"N/T"</formula>
    </cfRule>
    <cfRule type="cellIs" dxfId="69" priority="438" stopIfTrue="1" operator="equal">
      <formula>"N/D"</formula>
    </cfRule>
    <cfRule type="expression" dxfId="68" priority="427" stopIfTrue="1">
      <formula>ISBLANK(D133)</formula>
    </cfRule>
    <cfRule type="cellIs" dxfId="67" priority="428"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159" zoomScale="122" zoomScaleNormal="122" workbookViewId="0">
      <selection activeCell="D171" sqref="D171:D179"/>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27</v>
      </c>
      <c r="H12" s="42">
        <f ca="1">IF(($G$15+$K$15)=0,0,G12/($G$15+$K$15))</f>
        <v>0.6</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9</v>
      </c>
      <c r="H13" s="42">
        <f ca="1">IF(($G$15+$K$15)=0,0,G13/($G$15+$K$15))</f>
        <v>0.2</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9</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https://www.comunidad.madrid/hospital/atencionprimaria/home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https://www.comunidad.madrid/hospital/atencionprimaria/ciudadanos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https://www.comunidad.madrid/hospital/atencionprimaria/profesionales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https://www.comunidad.madrid/hospital/atencionprimaria/comunicación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https://www.comunidad.madrid/hospital/atencionprimaria/nosotros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Videoteca</v>
      </c>
      <c r="C24" s="85" t="str" cm="1">
        <f t="array" ref="C24">IFERROR(INDEX('03.Muestra'!$F$8:$F$42,SMALL(IF("Página Web"='03.Muestra'!$D$8:$D$42,ROW('03.Muestra'!$F$8:$F$42)-MIN(ROW('03.Muestra'!$D$8:$D$42))+1,""),ROW()-18)),"")</f>
        <v>https://www.comunidad.madrid/hospital/atencionprimaria/videoteca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https://www.comunidad.madrid/hospital/atencionprimaria/declaracion-accesibilidad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 - Privacidad</v>
      </c>
      <c r="C26" s="85" t="str" cm="1">
        <f t="array" ref="C26">IFERROR(INDEX('03.Muestra'!$F$8:$F$42,SMALL(IF("Página Web"='03.Muestra'!$D$8:$D$42,ROW('03.Muestra'!$F$8:$F$42)-MIN(ROW('03.Muestra'!$D$8:$D$42))+1,""),ROW()-18)),"")</f>
        <v>https://www.comunidad.madrid/hospital/atencionprimaria/aviso-legal-privacidad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https://www.comunidad.madrid/hospital/atencionprimaria/sitemap</v>
      </c>
      <c r="D27" s="99" t="s">
        <v>92</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https://www.comunidad.madrid/hospital/atencionprimaria/home</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https://www.comunidad.madrid/hospital/atencionprimaria/ciudadanos</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9</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https://www.comunidad.madrid/hospital/atencionprimaria/profesionales</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https://www.comunidad.madrid/hospital/atencionprimaria/comunicación</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https://www.comunidad.madrid/hospital/atencionprimaria/nosotros</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Videoteca</v>
      </c>
      <c r="C62" s="85" t="str" cm="1">
        <f t="array" ref="C62">IFERROR(INDEX('03.Muestra'!$F$8:$F$42,SMALL(IF("Página Web"='03.Muestra'!$D$8:$D$42,ROW('03.Muestra'!$F$8:$F$42)-MIN(ROW('03.Muestra'!$D$8:$D$42))+1,""),ROW()-56)),"")</f>
        <v>https://www.comunidad.madrid/hospital/atencionprimaria/videoteca</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https://www.comunidad.madrid/hospital/atencionprimaria/declaracion-accesibilidad</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 - Privacidad</v>
      </c>
      <c r="C64" s="85" t="str" cm="1">
        <f t="array" ref="C64">IFERROR(INDEX('03.Muestra'!$F$8:$F$42,SMALL(IF("Página Web"='03.Muestra'!$D$8:$D$42,ROW('03.Muestra'!$F$8:$F$42)-MIN(ROW('03.Muestra'!$D$8:$D$42))+1,""),ROW()-56)),"")</f>
        <v>https://www.comunidad.madrid/hospital/atencionprimaria/aviso-legal-privacidad</v>
      </c>
      <c r="D64" s="99" t="s">
        <v>94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https://www.comunidad.madrid/hospital/atencionprimaria/sitemap</v>
      </c>
      <c r="D65" s="99" t="s">
        <v>94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https://www.comunidad.madrid/hospital/atencionprimaria/home</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https://www.comunidad.madrid/hospital/atencionprimaria/ciudadanos</v>
      </c>
      <c r="D96" s="99" t="s">
        <v>92</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9</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https://www.comunidad.madrid/hospital/atencionprimaria/profesionales</v>
      </c>
      <c r="D97" s="99" t="s">
        <v>92</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https://www.comunidad.madrid/hospital/atencionprimaria/comunicación</v>
      </c>
      <c r="D98" s="99" t="s">
        <v>92</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https://www.comunidad.madrid/hospital/atencionprimaria/nosotros</v>
      </c>
      <c r="D99" s="99" t="s">
        <v>92</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Videoteca</v>
      </c>
      <c r="C100" s="85" t="str" cm="1">
        <f t="array" ref="C100">IFERROR(INDEX('03.Muestra'!$F$8:$F$42,SMALL(IF("Página Web"='03.Muestra'!$D$8:$D$42,ROW('03.Muestra'!$F$8:$F$42)-MIN(ROW('03.Muestra'!$D$8:$D$42))+1,""),ROW()-94)),"")</f>
        <v>https://www.comunidad.madrid/hospital/atencionprimaria/videoteca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https://www.comunidad.madrid/hospital/atencionprimaria/declaracion-accesibilidad</v>
      </c>
      <c r="D101" s="99" t="s">
        <v>92</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 - Privacidad</v>
      </c>
      <c r="C102" s="85" t="str" cm="1">
        <f t="array" ref="C102">IFERROR(INDEX('03.Muestra'!$F$8:$F$42,SMALL(IF("Página Web"='03.Muestra'!$D$8:$D$42,ROW('03.Muestra'!$F$8:$F$42)-MIN(ROW('03.Muestra'!$D$8:$D$42))+1,""),ROW()-94)),"")</f>
        <v>https://www.comunidad.madrid/hospital/atencionprimaria/aviso-legal-privacidad</v>
      </c>
      <c r="D102" s="99" t="s">
        <v>92</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https://www.comunidad.madrid/hospital/atencionprimaria/sitemap</v>
      </c>
      <c r="D103" s="99" t="s">
        <v>92</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https://www.comunidad.madrid/hospital/atencionprimaria/home</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https://www.comunidad.madrid/hospital/atencionprimaria/ciudadanos</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9</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https://www.comunidad.madrid/hospital/atencionprimaria/profesionales</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https://www.comunidad.madrid/hospital/atencionprimaria/comunicación</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https://www.comunidad.madrid/hospital/atencionprimaria/nosotros</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Videoteca</v>
      </c>
      <c r="C138" s="85" t="str" cm="1">
        <f t="array" ref="C138">IFERROR(INDEX('03.Muestra'!$F$8:$F$42,SMALL(IF("Página Web"='03.Muestra'!$D$8:$D$42,ROW('03.Muestra'!$F$8:$F$42)-MIN(ROW('03.Muestra'!$D$8:$D$42))+1,""),ROW()-132)),"")</f>
        <v>https://www.comunidad.madrid/hospital/atencionprimaria/videoteca</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https://www.comunidad.madrid/hospital/atencionprimaria/declaracion-accesibilidad</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 - Privacidad</v>
      </c>
      <c r="C140" s="85" t="str" cm="1">
        <f t="array" ref="C140">IFERROR(INDEX('03.Muestra'!$F$8:$F$42,SMALL(IF("Página Web"='03.Muestra'!$D$8:$D$42,ROW('03.Muestra'!$F$8:$F$42)-MIN(ROW('03.Muestra'!$D$8:$D$42))+1,""),ROW()-132)),"")</f>
        <v>https://www.comunidad.madrid/hospital/atencionprimaria/aviso-legal-privacidad</v>
      </c>
      <c r="D140" s="99" t="s">
        <v>92</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https://www.comunidad.madrid/hospital/atencionprimaria/sitemap</v>
      </c>
      <c r="D141" s="99" t="s">
        <v>92</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https://www.comunidad.madrid/hospital/atencionprimaria/home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https://www.comunidad.madrid/hospital/atencionprimaria/ciudadanos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https://www.comunidad.madrid/hospital/atencionprimaria/profesionales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https://www.comunidad.madrid/hospital/atencionprimaria/comunicación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https://www.comunidad.madrid/hospital/atencionprimaria/nosotros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Videoteca</v>
      </c>
      <c r="C176" s="85" t="str" cm="1">
        <f t="array" ref="C176">IFERROR(INDEX('03.Muestra'!$F$8:$F$42,SMALL(IF("Página Web"='03.Muestra'!$D$8:$D$42,ROW('03.Muestra'!$F$8:$F$42)-MIN(ROW('03.Muestra'!$D$8:$D$42))+1,""),ROW()-170)),"")</f>
        <v>https://www.comunidad.madrid/hospital/atencionprimaria/videoteca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https://www.comunidad.madrid/hospital/atencionprimaria/declaracion-accesibilidad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 - Privacidad</v>
      </c>
      <c r="C178" s="85" t="str" cm="1">
        <f t="array" ref="C178">IFERROR(INDEX('03.Muestra'!$F$8:$F$42,SMALL(IF("Página Web"='03.Muestra'!$D$8:$D$42,ROW('03.Muestra'!$F$8:$F$42)-MIN(ROW('03.Muestra'!$D$8:$D$42))+1,""),ROW()-170)),"")</f>
        <v>https://www.comunidad.madrid/hospital/atencionprimaria/aviso-legal-privacidad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https://www.comunidad.madrid/hospital/atencionprimaria/sitemap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70" zoomScaleNormal="70" workbookViewId="0">
      <selection activeCell="N2" sqref="N2"/>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28 (30,43 %)</v>
      </c>
      <c r="F8" s="38" t="str">
        <f ca="1">CONCATENATE(COUNTIF(E55:CR55,"NO CONFORME")," (",ROUND(COUNTIF(E55:CR55,"NO CONFORME")*100/COUNTA($E$19:CR$19),2)," %)")</f>
        <v>12 (13,04 %)</v>
      </c>
      <c r="G8" s="39" t="str">
        <f ca="1">CONCATENATE(COUNTIF(E55:CR55,"N/A")," (",ROUND(COUNTIF(E55:CR55,"N/A")*100/COUNTA($E$19:CR$19),2)," %)")</f>
        <v>52 (56,52 %)</v>
      </c>
      <c r="H8" s="39">
        <f ca="1">COUNTIF(E55:CR55,"ERROR")</f>
        <v>0</v>
      </c>
      <c r="I8" s="40">
        <f ca="1">COUNTIF(E55:CR55,"EN CURSO")</f>
        <v>0</v>
      </c>
      <c r="J8" s="187">
        <f ca="1">SUM(VALUE(LEFT(E8,SEARCH(" ",E8)-1)),VALUE(LEFT(F8,SEARCH(" ",F8)-1)))</f>
        <v>40</v>
      </c>
      <c r="K8" s="41" t="s">
        <v>263</v>
      </c>
      <c r="L8" s="38">
        <f ca="1">COUNTIF( $E$20:INDIRECT("$CR$" &amp;  SUM(19,COUNTIFS(B20:B54,"&lt;&gt;"))),"Pasa")+ COUNTIF($E$61:INDIRECT("$AW$" &amp;  SUM(60,COUNTIFS(B61:B95,"&lt;&gt;"))),"Pasa")</f>
        <v>242</v>
      </c>
      <c r="M8" s="42">
        <f ca="1">IF(($L$11+$P$11)=0,0,L8/($L$11+$P$11))</f>
        <v>0.2922705314009662</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96</v>
      </c>
      <c r="M9" s="42">
        <f ca="1">IF(($L$11+$P$11)=0,0,L9/($L$11+$P$11))</f>
        <v>0.11594202898550725</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20,44 %</v>
      </c>
      <c r="F10" s="192" t="str">
        <f ca="1">CONCATENATE(ROUND(F11/137*100,2)," %")</f>
        <v>8,76 %</v>
      </c>
      <c r="G10" s="192" t="str">
        <f ca="1">CONCATENATE(ROUND(G11/137*100,2)," %")</f>
        <v>70,8 %</v>
      </c>
      <c r="H10" s="192" t="str">
        <f ca="1">CONCATENATE(ROUND(H11/137*100,2)," %")</f>
        <v>0 %</v>
      </c>
      <c r="I10" s="194" t="str">
        <f ca="1">CONCATENATE(ROUND(I11/137*100,2)," %")</f>
        <v>0 %</v>
      </c>
      <c r="J10" s="195"/>
      <c r="K10" s="41" t="s">
        <v>97</v>
      </c>
      <c r="L10" s="38">
        <f ca="1">COUNTIF( $E$20:INDIRECT("$CR$" &amp;  SUM(19,COUNTIFS(B20:B54,"&lt;&gt;"))),"N/A")+COUNTIF($E$61:INDIRECT("$AW$" &amp;  SUM(60,COUNTIFS(B61:B95,"&lt;&gt;"))),"N/A")</f>
        <v>490</v>
      </c>
      <c r="M10" s="42">
        <f ca="1">IF(($L$11+$P$11)=0,0,L10/($L$11+$P$11))</f>
        <v>0.59178743961352653</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28</v>
      </c>
      <c r="F11" s="193">
        <f ca="1">SUM(VALUE(LEFT(F8,SEARCH(" ",F8)-1)),VALUE(LEFT(F9,SEARCH(" ",F9)-1)))</f>
        <v>12</v>
      </c>
      <c r="G11" s="193">
        <f ca="1">SUM(VALUE(LEFT(G8,SEARCH(" ",G8)-1)),VALUE(LEFT(G9,SEARCH(" ",G9)-1)))</f>
        <v>97</v>
      </c>
      <c r="H11" s="193">
        <f ca="1">SUM(H8:H9)</f>
        <v>0</v>
      </c>
      <c r="I11" s="193">
        <f ca="1">SUM(I8:I9)</f>
        <v>0</v>
      </c>
      <c r="K11" s="43" t="s">
        <v>266</v>
      </c>
      <c r="L11" s="203">
        <f ca="1">SUM(L8:L10)</f>
        <v>828</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7</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https://www.comunidad.madrid/hospital/atencionprimaria/home</v>
      </c>
      <c r="E20" s="75" t="str" cm="1">
        <f t="array" aca="1" ref="E20" ca="1">IF($B20="","",IF(ISBLANK(INDIRECT("R5.Genéricos!D"&amp;SUM(18,38*0,1))),"",INDIRECT("R5.Genéricos!D"&amp;SUM(18,38*0,1))))</f>
        <v>N/A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Pasa</v>
      </c>
      <c r="AB20" s="75" t="str" cm="1">
        <f t="array" aca="1" ref="AB20" ca="1">IF($B20="","",IF(ISBLANK(INDIRECT("R7.Video!D"&amp;SUM(18,38*1,1))),"",INDIRECT("R7.Video!D"&amp;SUM(18,38*1,1))))</f>
        <v>Pasa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N/A</v>
      </c>
      <c r="AL20" s="75" t="str" cm="1">
        <f t="array" aca="1" ref="AL20" ca="1">IF($B20="","",IF(ISBLANK(INDIRECT("R9.Web!D"&amp;SUM(18,38*2,1))),"",INDIRECT("R9.Web!D"&amp;SUM(18,38*2,1))))</f>
        <v>Pasa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N/A</v>
      </c>
      <c r="AT20" s="75" t="str" cm="1">
        <f t="array" aca="1" ref="AT20" ca="1">IF($B20="","",IF(ISBLANK(INDIRECT("R9.Web!D"&amp;SUM(18,38*10,1))),"",INDIRECT("R9.Web!D"&amp;SUM(18,38*10,1))))</f>
        <v>Pasa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Falla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Falla</v>
      </c>
      <c r="BA20" s="75" t="str" cm="1">
        <f t="array" aca="1" ref="BA20" ca="1">IF($B20="","",IF(ISBLANK(INDIRECT("R9.Web!D"&amp;SUM(18,38*17,1))),"",INDIRECT("R9.Web!D"&amp;SUM(18,38*17,1))))</f>
        <v>Pasa</v>
      </c>
      <c r="BB20" s="75" t="str" cm="1">
        <f t="array" aca="1" ref="BB20" ca="1">IF($B20="","",IF(ISBLANK(INDIRECT("R9.Web!D"&amp;SUM(18,38*18,1))),"",INDIRECT("R9.Web!D"&amp;SUM(18,38*18,1))))</f>
        <v>N/A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Falla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Pasa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N/A</v>
      </c>
      <c r="CA20" s="75" t="str" cm="1">
        <f t="array" aca="1" ref="CA20" ca="1">IF($B20="","",IF(ISBLANK(INDIRECT("R9.Web!D"&amp;SUM(18,38*43,1))),"",INDIRECT("R9.Web!D"&amp;SUM(18,38*43,1))))</f>
        <v>Pasa</v>
      </c>
      <c r="CB20" s="75" t="str" cm="1">
        <f t="array" aca="1" ref="CB20" ca="1">IF($B20="","",IF(ISBLANK(INDIRECT("R9.Web!D"&amp;SUM(18,38*44,1))),"",INDIRECT("R9.Web!D"&amp;SUM(18,38*44,1))))</f>
        <v>N/A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Pasa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Pasa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Ciudadanos</v>
      </c>
      <c r="D21" s="74" t="str" cm="1">
        <f t="array" ref="D21">IFERROR(INDEX('03.Muestra'!$F$8:$F$42,SMALL(IF("Página Web"='03.Muestra'!$D$8:$D$42,ROW('03.Muestra'!$F$8:$F$42)-MIN(ROW('03.Muestra'!$D$8:$D$42))+1,""),ROW()-19)),"")</f>
        <v>https://www.comunidad.madrid/hospital/atencionprimaria/ciudadanos</v>
      </c>
      <c r="E21" s="75" t="str" cm="1">
        <f t="array" aca="1" ref="E21" ca="1">IF($B21="","",IF(ISBLANK(INDIRECT("R5.Genéricos!D"&amp;SUM(18,38*0,2))),"",INDIRECT("R5.Genéricos!D"&amp;SUM(18,38*0,2))))</f>
        <v>N/A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Pasa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N/A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Pasa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Falla</v>
      </c>
      <c r="AX21" s="75" t="str" cm="1">
        <f t="array" aca="1" ref="AX21" ca="1">IF($B21="","",IF(ISBLANK(INDIRECT("R9.Web!D"&amp;SUM(18,38*14,2))),"",INDIRECT("R9.Web!D"&amp;SUM(18,38*14,2))))</f>
        <v>N/A</v>
      </c>
      <c r="AY21" s="75" t="str" cm="1">
        <f t="array" aca="1" ref="AY21" ca="1">IF($B21="","",IF(ISBLANK(INDIRECT("R9.Web!D"&amp;SUM(18,38*15,2))),"",INDIRECT("R9.Web!D"&amp;SUM(18,38*15,2))))</f>
        <v>Falla</v>
      </c>
      <c r="AZ21" s="75" t="str" cm="1">
        <f t="array" aca="1" ref="AZ21" ca="1">IF($B21="","",IF(ISBLANK(INDIRECT("R9.Web!D"&amp;SUM(18,38*16,2))),"",INDIRECT("R9.Web!D"&amp;SUM(18,38*16,2))))</f>
        <v>Falla</v>
      </c>
      <c r="BA21" s="75" t="str" cm="1">
        <f t="array" aca="1" ref="BA21" ca="1">IF($B21="","",IF(ISBLANK(INDIRECT("R9.Web!D"&amp;SUM(18,38*17,2))),"",INDIRECT("R9.Web!D"&amp;SUM(18,38*17,2))))</f>
        <v>Pasa</v>
      </c>
      <c r="BB21" s="75" t="str" cm="1">
        <f t="array" aca="1" ref="BB21" ca="1">IF($B21="","",IF(ISBLANK(INDIRECT("R9.Web!D"&amp;SUM(18,38*18,2))),"",INDIRECT("R9.Web!D"&amp;SUM(18,38*18,2))))</f>
        <v>N/A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Pasa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Pasa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Pasa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Pasa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Profesionales</v>
      </c>
      <c r="D22" s="74" t="str" cm="1">
        <f t="array" ref="D22">IFERROR(INDEX('03.Muestra'!$F$8:$F$42,SMALL(IF("Página Web"='03.Muestra'!$D$8:$D$42,ROW('03.Muestra'!$F$8:$F$42)-MIN(ROW('03.Muestra'!$D$8:$D$42))+1,""),ROW()-19)),"")</f>
        <v>https://www.comunidad.madrid/hospital/atencionprimaria/profesionales</v>
      </c>
      <c r="E22" s="75" t="str" cm="1">
        <f t="array" aca="1" ref="E22" ca="1">IF($B22="","",IF(ISBLANK(INDIRECT("R5.Genéricos!D"&amp;SUM(18,38*0,3))),"",INDIRECT("R5.Genéricos!D"&amp;SUM(18,38*0,3))))</f>
        <v>N/A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Pasa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N/A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N/A</v>
      </c>
      <c r="AT22" s="75" t="str" cm="1">
        <f t="array" aca="1" ref="AT22" ca="1">IF($B22="","",IF(ISBLANK(INDIRECT("R9.Web!D"&amp;SUM(18,38*10,3))),"",INDIRECT("R9.Web!D"&amp;SUM(18,38*10,3))))</f>
        <v>Pasa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Falla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Falla</v>
      </c>
      <c r="BA22" s="75" t="str" cm="1">
        <f t="array" aca="1" ref="BA22" ca="1">IF($B22="","",IF(ISBLANK(INDIRECT("R9.Web!D"&amp;SUM(18,38*17,3))),"",INDIRECT("R9.Web!D"&amp;SUM(18,38*17,3))))</f>
        <v>Pasa</v>
      </c>
      <c r="BB22" s="75" t="str" cm="1">
        <f t="array" aca="1" ref="BB22" ca="1">IF($B22="","",IF(ISBLANK(INDIRECT("R9.Web!D"&amp;SUM(18,38*18,3))),"",INDIRECT("R9.Web!D"&amp;SUM(18,38*18,3))))</f>
        <v>N/A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Pasa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N/A</v>
      </c>
      <c r="CA22" s="75" t="str" cm="1">
        <f t="array" aca="1" ref="CA22" ca="1">IF($B22="","",IF(ISBLANK(INDIRECT("R9.Web!D"&amp;SUM(18,38*43,3))),"",INDIRECT("R9.Web!D"&amp;SUM(18,38*43,3))))</f>
        <v>Pasa</v>
      </c>
      <c r="CB22" s="75" t="str" cm="1">
        <f t="array" aca="1" ref="CB22" ca="1">IF($B22="","",IF(ISBLANK(INDIRECT("R9.Web!D"&amp;SUM(18,38*44,3))),"",INDIRECT("R9.Web!D"&amp;SUM(18,38*44,3))))</f>
        <v>N/A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Pasa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Comunicación</v>
      </c>
      <c r="D23" s="74" t="str" cm="1">
        <f t="array" ref="D23">IFERROR(INDEX('03.Muestra'!$F$8:$F$42,SMALL(IF("Página Web"='03.Muestra'!$D$8:$D$42,ROW('03.Muestra'!$F$8:$F$42)-MIN(ROW('03.Muestra'!$D$8:$D$42))+1,""),ROW()-19)),"")</f>
        <v>https://www.comunidad.madrid/hospital/atencionprimaria/comunicación</v>
      </c>
      <c r="E23" s="75" t="str" cm="1">
        <f t="array" aca="1" ref="E23" ca="1">IF($B23="","",IF(ISBLANK(INDIRECT("R5.Genéricos!D"&amp;SUM(18,38*0,4))),"",INDIRECT("R5.Genéricos!D"&amp;SUM(18,38*0,4))))</f>
        <v>N/A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Pasa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N/A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Pasa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Falla</v>
      </c>
      <c r="AX23" s="75" t="str" cm="1">
        <f t="array" aca="1" ref="AX23" ca="1">IF($B23="","",IF(ISBLANK(INDIRECT("R9.Web!D"&amp;SUM(18,38*14,4))),"",INDIRECT("R9.Web!D"&amp;SUM(18,38*14,4))))</f>
        <v>N/A</v>
      </c>
      <c r="AY23" s="75" t="str" cm="1">
        <f t="array" aca="1" ref="AY23" ca="1">IF($B23="","",IF(ISBLANK(INDIRECT("R9.Web!D"&amp;SUM(18,38*15,4))),"",INDIRECT("R9.Web!D"&amp;SUM(18,38*15,4))))</f>
        <v>Falla</v>
      </c>
      <c r="AZ23" s="75" t="str" cm="1">
        <f t="array" aca="1" ref="AZ23" ca="1">IF($B23="","",IF(ISBLANK(INDIRECT("R9.Web!D"&amp;SUM(18,38*16,4))),"",INDIRECT("R9.Web!D"&amp;SUM(18,38*16,4))))</f>
        <v>Falla</v>
      </c>
      <c r="BA23" s="75" t="str" cm="1">
        <f t="array" aca="1" ref="BA23" ca="1">IF($B23="","",IF(ISBLANK(INDIRECT("R9.Web!D"&amp;SUM(18,38*17,4))),"",INDIRECT("R9.Web!D"&amp;SUM(18,38*17,4))))</f>
        <v>Pasa</v>
      </c>
      <c r="BB23" s="75" t="str" cm="1">
        <f t="array" aca="1" ref="BB23" ca="1">IF($B23="","",IF(ISBLANK(INDIRECT("R9.Web!D"&amp;SUM(18,38*18,4))),"",INDIRECT("R9.Web!D"&amp;SUM(18,38*18,4))))</f>
        <v>N/A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Pasa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Pasa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Pasa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Pasa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Nosotros</v>
      </c>
      <c r="D24" s="74" t="str" cm="1">
        <f t="array" ref="D24">IFERROR(INDEX('03.Muestra'!$F$8:$F$42,SMALL(IF("Página Web"='03.Muestra'!$D$8:$D$42,ROW('03.Muestra'!$F$8:$F$42)-MIN(ROW('03.Muestra'!$D$8:$D$42))+1,""),ROW()-19)),"")</f>
        <v>https://www.comunidad.madrid/hospital/atencionprimaria/nosotros</v>
      </c>
      <c r="E24" s="75" t="str" cm="1">
        <f t="array" aca="1" ref="E24" ca="1">IF($B24="","",IF(ISBLANK(INDIRECT("R5.Genéricos!D"&amp;SUM(18,38*0,5))),"",INDIRECT("R5.Genéricos!D"&amp;SUM(18,38*0,5))))</f>
        <v>N/A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Pasa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N/A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Pasa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Falla</v>
      </c>
      <c r="BA24" s="75" t="str" cm="1">
        <f t="array" aca="1" ref="BA24" ca="1">IF($B24="","",IF(ISBLANK(INDIRECT("R9.Web!D"&amp;SUM(18,38*17,5))),"",INDIRECT("R9.Web!D"&amp;SUM(18,38*17,5))))</f>
        <v>Pasa</v>
      </c>
      <c r="BB24" s="75" t="str" cm="1">
        <f t="array" aca="1" ref="BB24" ca="1">IF($B24="","",IF(ISBLANK(INDIRECT("R9.Web!D"&amp;SUM(18,38*18,5))),"",INDIRECT("R9.Web!D"&amp;SUM(18,38*18,5))))</f>
        <v>N/A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Pasa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Pasa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Pasa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Pasa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Videoteca</v>
      </c>
      <c r="D25" s="74" t="str" cm="1">
        <f t="array" ref="D25">IFERROR(INDEX('03.Muestra'!$F$8:$F$42,SMALL(IF("Página Web"='03.Muestra'!$D$8:$D$42,ROW('03.Muestra'!$F$8:$F$42)-MIN(ROW('03.Muestra'!$D$8:$D$42))+1,""),ROW()-19)),"")</f>
        <v>https://www.comunidad.madrid/hospital/atencionprimaria/videoteca</v>
      </c>
      <c r="E25" s="75" t="str" cm="1">
        <f t="array" aca="1" ref="E25" ca="1">IF($B25="","",IF(ISBLANK(INDIRECT("R5.Genéricos!D"&amp;SUM(18,38*0,6))),"",INDIRECT("R5.Genéricos!D"&amp;SUM(18,38*0,6))))</f>
        <v>N/A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Pasa</v>
      </c>
      <c r="AB25" s="75" t="str" cm="1">
        <f t="array" aca="1" ref="AB25" ca="1">IF($B25="","",IF(ISBLANK(INDIRECT("R7.Video!D"&amp;SUM(18,38*1,6))),"",INDIRECT("R7.Video!D"&amp;SUM(18,38*1,6))))</f>
        <v>Pasa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N/A</v>
      </c>
      <c r="AL25" s="75" t="str" cm="1">
        <f t="array" aca="1" ref="AL25" ca="1">IF($B25="","",IF(ISBLANK(INDIRECT("R9.Web!D"&amp;SUM(18,38*2,6))),"",INDIRECT("R9.Web!D"&amp;SUM(18,38*2,6))))</f>
        <v>Pasa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Pasa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Falla</v>
      </c>
      <c r="BA25" s="75" t="str" cm="1">
        <f t="array" aca="1" ref="BA25" ca="1">IF($B25="","",IF(ISBLANK(INDIRECT("R9.Web!D"&amp;SUM(18,38*17,6))),"",INDIRECT("R9.Web!D"&amp;SUM(18,38*17,6))))</f>
        <v>Pasa</v>
      </c>
      <c r="BB25" s="75" t="str" cm="1">
        <f t="array" aca="1" ref="BB25" ca="1">IF($B25="","",IF(ISBLANK(INDIRECT("R9.Web!D"&amp;SUM(18,38*18,6))),"",INDIRECT("R9.Web!D"&amp;SUM(18,38*18,6))))</f>
        <v>N/A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Pasa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Pasa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Pasa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Pasa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Accesibilidad</v>
      </c>
      <c r="D26" s="74" t="str" cm="1">
        <f t="array" ref="D26">IFERROR(INDEX('03.Muestra'!$F$8:$F$42,SMALL(IF("Página Web"='03.Muestra'!$D$8:$D$42,ROW('03.Muestra'!$F$8:$F$42)-MIN(ROW('03.Muestra'!$D$8:$D$42))+1,""),ROW()-19)),"")</f>
        <v>https://www.comunidad.madrid/hospital/atencionprimaria/declaracion-accesibilidad</v>
      </c>
      <c r="E26" s="75" t="str" cm="1">
        <f t="array" aca="1" ref="E26" ca="1">IF($B26="","",IF(ISBLANK(INDIRECT("R5.Genéricos!D"&amp;SUM(18,38*0,7))),"",INDIRECT("R5.Genéricos!D"&amp;SUM(18,38*0,7))))</f>
        <v>N/A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Pasa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N/A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N/A</v>
      </c>
      <c r="AT26" s="75" t="str" cm="1">
        <f t="array" aca="1" ref="AT26" ca="1">IF($B26="","",IF(ISBLANK(INDIRECT("R9.Web!D"&amp;SUM(18,38*10,7))),"",INDIRECT("R9.Web!D"&amp;SUM(18,38*10,7))))</f>
        <v>Pasa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Falla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Pasa</v>
      </c>
      <c r="BB26" s="75" t="str" cm="1">
        <f t="array" aca="1" ref="BB26" ca="1">IF($B26="","",IF(ISBLANK(INDIRECT("R9.Web!D"&amp;SUM(18,38*18,7))),"",INDIRECT("R9.Web!D"&amp;SUM(18,38*18,7))))</f>
        <v>N/A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Pasa</v>
      </c>
      <c r="BS26" s="75" t="str" cm="1">
        <f t="array" aca="1" ref="BS26" ca="1">IF($B26="","",IF(ISBLANK(INDIRECT("R9.Web!D"&amp;SUM(18,38*35,7))),"",INDIRECT("R9.Web!D"&amp;SUM(18,38*35,7))))</f>
        <v>N/A</v>
      </c>
      <c r="BT26" s="75" t="str" cm="1">
        <f t="array" aca="1" ref="BT26" ca="1">IF($B26="","",IF(ISBLANK(INDIRECT("R9.Web!D"&amp;SUM(18,38*36,7))),"",INDIRECT("R9.Web!D"&amp;SUM(18,38*36,7))))</f>
        <v>Pasa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N/A</v>
      </c>
      <c r="CA26" s="75" t="str" cm="1">
        <f t="array" aca="1" ref="CA26" ca="1">IF($B26="","",IF(ISBLANK(INDIRECT("R9.Web!D"&amp;SUM(18,38*43,7))),"",INDIRECT("R9.Web!D"&amp;SUM(18,38*43,7))))</f>
        <v>Pasa</v>
      </c>
      <c r="CB26" s="75" t="str" cm="1">
        <f t="array" aca="1" ref="CB26" ca="1">IF($B26="","",IF(ISBLANK(INDIRECT("R9.Web!D"&amp;SUM(18,38*44,7))),"",INDIRECT("R9.Web!D"&amp;SUM(18,38*44,7))))</f>
        <v>N/A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Pasa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Pasa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
      <c r="B27" s="39" cm="1">
        <f t="array" ref="B27">IFERROR(INDEX('03.Muestra'!$B$8:$B$42,SMALL(IF("Página Web"='03.Muestra'!$D$8:$D$42,ROW('03.Muestra'!$B$8:$B$42)-MIN(ROW('03.Muestra'!$D$8:$D$42))+1,""),ROW()-19)),"")</f>
        <v>8</v>
      </c>
      <c r="C27" s="73" t="str" cm="1">
        <f t="array" ref="C27">IFERROR(INDEX('03.Muestra'!$C$8:$C$42,SMALL(IF("Página Web"='03.Muestra'!$D$8:$D$42,ROW('03.Muestra'!$C$8:$C$42)-MIN(ROW('03.Muestra'!$D$8:$D$42))+1,""),ROW()-19)),"")</f>
        <v>Aviso Legal - Privacidad</v>
      </c>
      <c r="D27" s="74" t="str" cm="1">
        <f t="array" ref="D27">IFERROR(INDEX('03.Muestra'!$F$8:$F$42,SMALL(IF("Página Web"='03.Muestra'!$D$8:$D$42,ROW('03.Muestra'!$F$8:$F$42)-MIN(ROW('03.Muestra'!$D$8:$D$42))+1,""),ROW()-19)),"")</f>
        <v>https://www.comunidad.madrid/hospital/atencionprimaria/aviso-legal-privacidad</v>
      </c>
      <c r="E27" s="75" t="str" cm="1">
        <f t="array" aca="1" ref="E27" ca="1">IF($B27="","",IF(ISBLANK(INDIRECT("R5.Genéricos!D"&amp;SUM(18,38*0,8))),"",INDIRECT("R5.Genéricos!D"&amp;SUM(18,38*0,8))))</f>
        <v>N/A</v>
      </c>
      <c r="F27" s="75" t="str" cm="1">
        <f t="array" aca="1" ref="F27" ca="1">IF($B27="","",IF(ISBLANK(INDIRECT("R5.Genéricos!D"&amp;SUM(18,38*1,8))),"",INDIRECT("R5.Genéricos!D"&amp;SUM(18,38*1,8))))</f>
        <v>N/A</v>
      </c>
      <c r="G27" s="75" t="str" cm="1">
        <f t="array" aca="1" ref="G27" ca="1">IF($B27="","",IF(ISBLANK(INDIRECT("R5.Genéricos!D"&amp;SUM(18,38*2,8))),"",INDIRECT("R5.Genéricos!D"&amp;SUM(18,38*2,8))))</f>
        <v>N/A</v>
      </c>
      <c r="H27" s="75" t="str" cm="1">
        <f t="array" aca="1" ref="H27" ca="1">IF($B27="","",IF(ISBLANK(INDIRECT("R6.Voz!D"&amp;SUM(18,38*0,8))),"",INDIRECT("R6.Voz!D"&amp;SUM(18,38*0,8))))</f>
        <v>N/A</v>
      </c>
      <c r="I27" s="75" t="str" cm="1">
        <f t="array" aca="1" ref="I27" ca="1">IF($B27="","",IF(ISBLANK(INDIRECT("R6.Voz!D"&amp;SUM(18,38*1,8))),"",INDIRECT("R6.Voz!D"&amp;SUM(18,38*1,8))))</f>
        <v>N/A</v>
      </c>
      <c r="J27" s="75" t="str" cm="1">
        <f t="array" aca="1" ref="J27" ca="1">IF($B27="","",IF(ISBLANK(INDIRECT("R6.Voz!D"&amp;SUM(18,38*2,8))),"",INDIRECT("R6.Voz!D"&amp;SUM(18,38*2,8))))</f>
        <v>N/A</v>
      </c>
      <c r="K27" s="75" t="str" cm="1">
        <f t="array" aca="1" ref="K27" ca="1">IF($B27="","",IF(ISBLANK(INDIRECT("R6.Voz!D"&amp;SUM(18,38*3,8))),"",INDIRECT("R6.Voz!D"&amp;SUM(18,38*3,8))))</f>
        <v>N/A</v>
      </c>
      <c r="L27" s="75" t="str" cm="1">
        <f t="array" aca="1" ref="L27" ca="1">IF($B27="","",IF(ISBLANK(INDIRECT("R6.Voz!D"&amp;SUM(18,38*4,8))),"",INDIRECT("R6.Voz!D"&amp;SUM(18,38*4,8))))</f>
        <v>N/A</v>
      </c>
      <c r="M27" s="75" t="str" cm="1">
        <f t="array" aca="1" ref="M27" ca="1">IF($B27="","",IF(ISBLANK(INDIRECT("R6.Voz!D"&amp;SUM(18,38*5,8))),"",INDIRECT("R6.Voz!D"&amp;SUM(18,38*5,8))))</f>
        <v>N/A</v>
      </c>
      <c r="N27" s="75" t="str" cm="1">
        <f t="array" aca="1" ref="N27" ca="1">IF($B27="","",IF(ISBLANK(INDIRECT("R6.Voz!D"&amp;SUM(18,38*6,8))),"",INDIRECT("R6.Voz!D"&amp;SUM(18,38*6,8))))</f>
        <v>N/A</v>
      </c>
      <c r="O27" s="75" t="str" cm="1">
        <f t="array" aca="1" ref="O27" ca="1">IF($B27="","",IF(ISBLANK(INDIRECT("R6.Voz!D"&amp;SUM(18,38*7,8))),"",INDIRECT("R6.Voz!D"&amp;SUM(18,38*7,8))))</f>
        <v>N/A</v>
      </c>
      <c r="P27" s="75" t="str" cm="1">
        <f t="array" aca="1" ref="P27" ca="1">IF($B27="","",IF(ISBLANK(INDIRECT("R6.Voz!D"&amp;SUM(18,38*8,8))),"",INDIRECT("R6.Voz!D"&amp;SUM(18,38*8,8))))</f>
        <v>N/A</v>
      </c>
      <c r="Q27" s="75" t="str" cm="1">
        <f t="array" aca="1" ref="Q27" ca="1">IF($B27="","",IF(ISBLANK(INDIRECT("R6.Voz!D"&amp;SUM(18,38*9,8))),"",INDIRECT("R6.Voz!D"&amp;SUM(18,38*9,8))))</f>
        <v>N/A</v>
      </c>
      <c r="R27" s="75" t="str" cm="1">
        <f t="array" aca="1" ref="R27" ca="1">IF($B27="","",IF(ISBLANK(INDIRECT("R6.Voz!D"&amp;SUM(18,38*10,8))),"",INDIRECT("R6.Voz!D"&amp;SUM(18,38*10,8))))</f>
        <v>N/A</v>
      </c>
      <c r="S27" s="75" t="str" cm="1">
        <f t="array" aca="1" ref="S27" ca="1">IF($B27="","",IF(ISBLANK(INDIRECT("R6.Voz!D"&amp;SUM(18,38*11,8))),"",INDIRECT("R6.Voz!D"&amp;SUM(18,38*11,8))))</f>
        <v>N/A</v>
      </c>
      <c r="T27" s="75" t="str" cm="1">
        <f t="array" aca="1" ref="T27" ca="1">IF($B27="","",IF(ISBLANK(INDIRECT("R6.Voz!D"&amp;SUM(18,38*12,8))),"",INDIRECT("R6.Voz!D"&amp;SUM(18,38*12,8))))</f>
        <v>N/A</v>
      </c>
      <c r="U27" s="75" t="str" cm="1">
        <f t="array" aca="1" ref="U27" ca="1">IF($B27="","",IF(ISBLANK(INDIRECT("R6.Voz!D"&amp;SUM(18,38*13,8))),"",INDIRECT("R6.Voz!D"&amp;SUM(18,38*13,8))))</f>
        <v>N/A</v>
      </c>
      <c r="V27" s="75" t="str" cm="1">
        <f t="array" aca="1" ref="V27" ca="1">IF($B27="","",IF(ISBLANK(INDIRECT("R6.Voz!D"&amp;SUM(18,38*14,8))),"",INDIRECT("R6.Voz!D"&amp;SUM(18,38*14,8))))</f>
        <v>N/A</v>
      </c>
      <c r="W27" s="75" t="str" cm="1">
        <f t="array" aca="1" ref="W27" ca="1">IF($B27="","",IF(ISBLANK(INDIRECT("R6.Voz!D"&amp;SUM(18,38*15,8))),"",INDIRECT("R6.Voz!D"&amp;SUM(18,38*15,8))))</f>
        <v>N/A</v>
      </c>
      <c r="X27" s="75" t="str" cm="1">
        <f t="array" aca="1" ref="X27" ca="1">IF($B27="","",IF(ISBLANK(INDIRECT("R6.Voz!D"&amp;SUM(18,38*16,8))),"",INDIRECT("R6.Voz!D"&amp;SUM(18,38*16,8))))</f>
        <v>N/A</v>
      </c>
      <c r="Y27" s="75" t="str" cm="1">
        <f t="array" aca="1" ref="Y27" ca="1">IF($B27="","",IF(ISBLANK(INDIRECT("R6.Voz!D"&amp;SUM(18,38*17,8))),"",INDIRECT("R6.Voz!D"&amp;SUM(18,38*17,8))))</f>
        <v>N/A</v>
      </c>
      <c r="Z27" s="75" t="str" cm="1">
        <f t="array" aca="1" ref="Z27" ca="1">IF($B27="","",IF(ISBLANK(INDIRECT("R6.Voz!D"&amp;SUM(18,38*18,8))),"",INDIRECT("R6.Voz!D"&amp;SUM(18,38*18,8))))</f>
        <v>N/A</v>
      </c>
      <c r="AA27" s="75" t="str" cm="1">
        <f t="array" aca="1" ref="AA27" ca="1">IF($B27="","",IF(ISBLANK(INDIRECT("R7.Video!D"&amp;SUM(18,38*0,8))),"",INDIRECT("R7.Video!D"&amp;SUM(18,38*0,8))))</f>
        <v>N/A</v>
      </c>
      <c r="AB27" s="75" t="str" cm="1">
        <f t="array" aca="1" ref="AB27" ca="1">IF($B27="","",IF(ISBLANK(INDIRECT("R7.Video!D"&amp;SUM(18,38*1,8))),"",INDIRECT("R7.Video!D"&amp;SUM(18,38*1,8))))</f>
        <v>Pasa</v>
      </c>
      <c r="AC27" s="75" t="str" cm="1">
        <f t="array" aca="1" ref="AC27" ca="1">IF($B27="","",IF(ISBLANK(INDIRECT("R7.Video!D"&amp;SUM(18,38*2,8))),"",INDIRECT("R7.Video!D"&amp;SUM(18,38*2,8))))</f>
        <v>N/A</v>
      </c>
      <c r="AD27" s="75" t="str" cm="1">
        <f t="array" aca="1" ref="AD27" ca="1">IF($B27="","",IF(ISBLANK(INDIRECT("R7.Video!D"&amp;SUM(18,38*3,8))),"",INDIRECT("R7.Video!D"&amp;SUM(18,38*3,8))))</f>
        <v>N/A</v>
      </c>
      <c r="AE27" s="75" t="str" cm="1">
        <f t="array" aca="1" ref="AE27" ca="1">IF($B27="","",IF(ISBLANK(INDIRECT("R7.Video!D"&amp;SUM(18,38*4,8))),"",INDIRECT("R7.Video!D"&amp;SUM(18,38*4,8))))</f>
        <v>N/A</v>
      </c>
      <c r="AF27" s="75" t="str" cm="1">
        <f t="array" aca="1" ref="AF27" ca="1">IF($B27="","",IF(ISBLANK(INDIRECT("R7.Video!D"&amp;SUM(18,38*5,8))),"",INDIRECT("R7.Video!D"&amp;SUM(18,38*5,8))))</f>
        <v>N/A</v>
      </c>
      <c r="AG27" s="75" t="str" cm="1">
        <f t="array" aca="1" ref="AG27" ca="1">IF($B27="","",IF(ISBLANK(INDIRECT("R7.Video!D"&amp;SUM(18,38*6,8))),"",INDIRECT("R7.Video!D"&amp;SUM(18,38*6,8))))</f>
        <v>N/A</v>
      </c>
      <c r="AH27" s="75" t="str" cm="1">
        <f t="array" aca="1" ref="AH27" ca="1">IF($B27="","",IF(ISBLANK(INDIRECT("R7.Video!D"&amp;SUM(18,38*7,8))),"",INDIRECT("R7.Video!D"&amp;SUM(18,38*7,8))))</f>
        <v>N/A</v>
      </c>
      <c r="AI27" s="75" t="str" cm="1">
        <f t="array" aca="1" ref="AI27" ca="1">IF($B27="","",IF(ISBLANK(INDIRECT("R7.Video!D"&amp;SUM(18,38*8,8))),"",INDIRECT("R7.Video!D"&amp;SUM(18,38*8,8))))</f>
        <v>N/A</v>
      </c>
      <c r="AJ27" s="75" t="str" cm="1">
        <f t="array" aca="1" ref="AJ27" ca="1">IF($B27="","",IF(ISBLANK(INDIRECT("R9.Web!D"&amp;SUM(18,38*0,8))),"",INDIRECT("R9.Web!D"&amp;SUM(18,38*0,8))))</f>
        <v>Pasa</v>
      </c>
      <c r="AK27" s="75" t="str" cm="1">
        <f t="array" aca="1" ref="AK27" ca="1">IF($B27="","",IF(ISBLANK(INDIRECT("R9.Web!D"&amp;SUM(18,38*1,8))),"",INDIRECT("R9.Web!D"&amp;SUM(18,38*1,8))))</f>
        <v>N/A</v>
      </c>
      <c r="AL27" s="75" t="str" cm="1">
        <f t="array" aca="1" ref="AL27" ca="1">IF($B27="","",IF(ISBLANK(INDIRECT("R9.Web!D"&amp;SUM(18,38*2,8))),"",INDIRECT("R9.Web!D"&amp;SUM(18,38*2,8))))</f>
        <v>N/A</v>
      </c>
      <c r="AM27" s="75" t="str" cm="1">
        <f t="array" aca="1" ref="AM27" ca="1">IF($B27="","",IF(ISBLANK(INDIRECT("R9.Web!D"&amp;SUM(18,38*3,8))),"",INDIRECT("R9.Web!D"&amp;SUM(18,38*3,8))))</f>
        <v>N/A</v>
      </c>
      <c r="AN27" s="75" t="str" cm="1">
        <f t="array" aca="1" ref="AN27" ca="1">IF($B27="","",IF(ISBLANK(INDIRECT("R9.Web!D"&amp;SUM(18,38*4,8))),"",INDIRECT("R9.Web!D"&amp;SUM(18,38*4,8))))</f>
        <v>N/A</v>
      </c>
      <c r="AO27" s="75" t="str" cm="1">
        <f t="array" aca="1" ref="AO27" ca="1">IF($B27="","",IF(ISBLANK(INDIRECT("R9.Web!D"&amp;SUM(18,38*5,8))),"",INDIRECT("R9.Web!D"&amp;SUM(18,38*5,8))))</f>
        <v>Falla</v>
      </c>
      <c r="AP27" s="75" t="str" cm="1">
        <f t="array" aca="1" ref="AP27" ca="1">IF($B27="","",IF(ISBLANK(INDIRECT("R9.Web!D"&amp;SUM(18,38*6,8))),"",INDIRECT("R9.Web!D"&amp;SUM(18,38*6,8))))</f>
        <v>Falla</v>
      </c>
      <c r="AQ27" s="75" t="str" cm="1">
        <f t="array" aca="1" ref="AQ27" ca="1">IF($B27="","",IF(ISBLANK(INDIRECT("R9.Web!D"&amp;SUM(18,38*7,8))),"",INDIRECT("R9.Web!D"&amp;SUM(18,38*7,8))))</f>
        <v>Falla</v>
      </c>
      <c r="AR27" s="75" t="str" cm="1">
        <f t="array" aca="1" ref="AR27" ca="1">IF($B27="","",IF(ISBLANK(INDIRECT("R9.Web!D"&amp;SUM(18,38*8,8))),"",INDIRECT("R9.Web!D"&amp;SUM(18,38*8,8))))</f>
        <v>Pasa</v>
      </c>
      <c r="AS27" s="75" t="str" cm="1">
        <f t="array" aca="1" ref="AS27" ca="1">IF($B27="","",IF(ISBLANK(INDIRECT("R9.Web!D"&amp;SUM(18,38*9,8))),"",INDIRECT("R9.Web!D"&amp;SUM(18,38*9,8))))</f>
        <v>N/A</v>
      </c>
      <c r="AT27" s="75" t="str" cm="1">
        <f t="array" aca="1" ref="AT27" ca="1">IF($B27="","",IF(ISBLANK(INDIRECT("R9.Web!D"&amp;SUM(18,38*10,8))),"",INDIRECT("R9.Web!D"&amp;SUM(18,38*10,8))))</f>
        <v>Pasa</v>
      </c>
      <c r="AU27" s="75" t="str" cm="1">
        <f t="array" aca="1" ref="AU27" ca="1">IF($B27="","",IF(ISBLANK(INDIRECT("R9.Web!D"&amp;SUM(18,38*11,8))),"",INDIRECT("R9.Web!D"&amp;SUM(18,38*11,8))))</f>
        <v>N/A</v>
      </c>
      <c r="AV27" s="75" t="str" cm="1">
        <f t="array" aca="1" ref="AV27" ca="1">IF($B27="","",IF(ISBLANK(INDIRECT("R9.Web!D"&amp;SUM(18,38*12,8))),"",INDIRECT("R9.Web!D"&amp;SUM(18,38*12,8))))</f>
        <v>Pasa</v>
      </c>
      <c r="AW27" s="75" t="str" cm="1">
        <f t="array" aca="1" ref="AW27" ca="1">IF($B27="","",IF(ISBLANK(INDIRECT("R9.Web!D"&amp;SUM(18,38*13,8))),"",INDIRECT("R9.Web!D"&amp;SUM(18,38*13,8))))</f>
        <v>Falla</v>
      </c>
      <c r="AX27" s="75" t="str" cm="1">
        <f t="array" aca="1" ref="AX27" ca="1">IF($B27="","",IF(ISBLANK(INDIRECT("R9.Web!D"&amp;SUM(18,38*14,8))),"",INDIRECT("R9.Web!D"&amp;SUM(18,38*14,8))))</f>
        <v>N/A</v>
      </c>
      <c r="AY27" s="75" t="str" cm="1">
        <f t="array" aca="1" ref="AY27" ca="1">IF($B27="","",IF(ISBLANK(INDIRECT("R9.Web!D"&amp;SUM(18,38*15,8))),"",INDIRECT("R9.Web!D"&amp;SUM(18,38*15,8))))</f>
        <v>Falla</v>
      </c>
      <c r="AZ27" s="75" t="str" cm="1">
        <f t="array" aca="1" ref="AZ27" ca="1">IF($B27="","",IF(ISBLANK(INDIRECT("R9.Web!D"&amp;SUM(18,38*16,8))),"",INDIRECT("R9.Web!D"&amp;SUM(18,38*16,8))))</f>
        <v>Pasa</v>
      </c>
      <c r="BA27" s="75" t="str" cm="1">
        <f t="array" aca="1" ref="BA27" ca="1">IF($B27="","",IF(ISBLANK(INDIRECT("R9.Web!D"&amp;SUM(18,38*17,8))),"",INDIRECT("R9.Web!D"&amp;SUM(18,38*17,8))))</f>
        <v>Pasa</v>
      </c>
      <c r="BB27" s="75" t="str" cm="1">
        <f t="array" aca="1" ref="BB27" ca="1">IF($B27="","",IF(ISBLANK(INDIRECT("R9.Web!D"&amp;SUM(18,38*18,8))),"",INDIRECT("R9.Web!D"&amp;SUM(18,38*18,8))))</f>
        <v>N/A</v>
      </c>
      <c r="BC27" s="75" t="str" cm="1">
        <f t="array" aca="1" ref="BC27" ca="1">IF($B27="","",IF(ISBLANK(INDIRECT("R9.Web!D"&amp;SUM(18,38*19,8))),"",INDIRECT("R9.Web!D"&amp;SUM(18,38*19,8))))</f>
        <v>Falla</v>
      </c>
      <c r="BD27" s="75" t="str" cm="1">
        <f t="array" aca="1" ref="BD27" ca="1">IF($B27="","",IF(ISBLANK(INDIRECT("R9.Web!D"&amp;SUM(18,38*20,8))),"",INDIRECT("R9.Web!D"&amp;SUM(18,38*20,8))))</f>
        <v>Pasa</v>
      </c>
      <c r="BE27" s="75" t="str" cm="1">
        <f t="array" aca="1" ref="BE27" ca="1">IF($B27="","",IF(ISBLANK(INDIRECT("R9.Web!D"&amp;SUM(18,38*21,8))),"",INDIRECT("R9.Web!D"&amp;SUM(18,38*21,8))))</f>
        <v>N/A</v>
      </c>
      <c r="BF27" s="75" t="str" cm="1">
        <f t="array" aca="1" ref="BF27" ca="1">IF($B27="","",IF(ISBLANK(INDIRECT("R9.Web!D"&amp;SUM(18,38*22,8))),"",INDIRECT("R9.Web!D"&amp;SUM(18,38*22,8))))</f>
        <v>N/A</v>
      </c>
      <c r="BG27" s="75" t="str" cm="1">
        <f t="array" aca="1" ref="BG27" ca="1">IF($B27="","",IF(ISBLANK(INDIRECT("R9.Web!D"&amp;SUM(18,38*23,8))),"",INDIRECT("R9.Web!D"&amp;SUM(18,38*23,8))))</f>
        <v>N/A</v>
      </c>
      <c r="BH27" s="75" t="str" cm="1">
        <f t="array" aca="1" ref="BH27" ca="1">IF($B27="","",IF(ISBLANK(INDIRECT("R9.Web!D"&amp;SUM(18,38*24,8))),"",INDIRECT("R9.Web!D"&amp;SUM(18,38*24,8))))</f>
        <v>N/A</v>
      </c>
      <c r="BI27" s="75" t="str" cm="1">
        <f t="array" aca="1" ref="BI27" ca="1">IF($B27="","",IF(ISBLANK(INDIRECT("R9.Web!D"&amp;SUM(18,38*25,8))),"",INDIRECT("R9.Web!D"&amp;SUM(18,38*25,8))))</f>
        <v>Pasa</v>
      </c>
      <c r="BJ27" s="75" t="str" cm="1">
        <f t="array" aca="1" ref="BJ27" ca="1">IF($B27="","",IF(ISBLANK(INDIRECT("R9.Web!D"&amp;SUM(18,38*26,8))),"",INDIRECT("R9.Web!D"&amp;SUM(18,38*26,8))))</f>
        <v>Pasa</v>
      </c>
      <c r="BK27" s="75" t="str" cm="1">
        <f t="array" aca="1" ref="BK27" ca="1">IF($B27="","",IF(ISBLANK(INDIRECT("R9.Web!D"&amp;SUM(18,38*27,8))),"",INDIRECT("R9.Web!D"&amp;SUM(18,38*27,8))))</f>
        <v>Falla</v>
      </c>
      <c r="BL27" s="75" t="str" cm="1">
        <f t="array" aca="1" ref="BL27" ca="1">IF($B27="","",IF(ISBLANK(INDIRECT("R9.Web!D"&amp;SUM(18,38*28,8))),"",INDIRECT("R9.Web!D"&amp;SUM(18,38*28,8))))</f>
        <v>Pasa</v>
      </c>
      <c r="BM27" s="75" t="str" cm="1">
        <f t="array" aca="1" ref="BM27" ca="1">IF($B27="","",IF(ISBLANK(INDIRECT("R9.Web!D"&amp;SUM(18,38*29,8))),"",INDIRECT("R9.Web!D"&amp;SUM(18,38*29,8))))</f>
        <v>Pasa</v>
      </c>
      <c r="BN27" s="75" t="str" cm="1">
        <f t="array" aca="1" ref="BN27" ca="1">IF($B27="","",IF(ISBLANK(INDIRECT("R9.Web!D"&amp;SUM(18,38*30,8))),"",INDIRECT("R9.Web!D"&amp;SUM(18,38*30,8))))</f>
        <v>Pasa</v>
      </c>
      <c r="BO27" s="75" t="str" cm="1">
        <f t="array" aca="1" ref="BO27" ca="1">IF($B27="","",IF(ISBLANK(INDIRECT("R9.Web!D"&amp;SUM(18,38*31,8))),"",INDIRECT("R9.Web!D"&amp;SUM(18,38*31,8))))</f>
        <v>Falla</v>
      </c>
      <c r="BP27" s="75" t="str" cm="1">
        <f t="array" aca="1" ref="BP27" ca="1">IF($B27="","",IF(ISBLANK(INDIRECT("R9.Web!D"&amp;SUM(18,38*32,8))),"",INDIRECT("R9.Web!D"&amp;SUM(18,38*32,8))))</f>
        <v>N/A</v>
      </c>
      <c r="BQ27" s="75" t="str" cm="1">
        <f t="array" aca="1" ref="BQ27" ca="1">IF($B27="","",IF(ISBLANK(INDIRECT("R9.Web!D"&amp;SUM(18,38*33,8))),"",INDIRECT("R9.Web!D"&amp;SUM(18,38*33,8))))</f>
        <v>Pasa</v>
      </c>
      <c r="BR27" s="75" t="str" cm="1">
        <f t="array" aca="1" ref="BR27" ca="1">IF($B27="","",IF(ISBLANK(INDIRECT("R9.Web!D"&amp;SUM(18,38*34,8))),"",INDIRECT("R9.Web!D"&amp;SUM(18,38*34,8))))</f>
        <v>Pasa</v>
      </c>
      <c r="BS27" s="75" t="str" cm="1">
        <f t="array" aca="1" ref="BS27" ca="1">IF($B27="","",IF(ISBLANK(INDIRECT("R9.Web!D"&amp;SUM(18,38*35,8))),"",INDIRECT("R9.Web!D"&amp;SUM(18,38*35,8))))</f>
        <v>N/A</v>
      </c>
      <c r="BT27" s="75" t="str" cm="1">
        <f t="array" aca="1" ref="BT27" ca="1">IF($B27="","",IF(ISBLANK(INDIRECT("R9.Web!D"&amp;SUM(18,38*36,8))),"",INDIRECT("R9.Web!D"&amp;SUM(18,38*36,8))))</f>
        <v>Pasa</v>
      </c>
      <c r="BU27" s="75" t="str" cm="1">
        <f t="array" aca="1" ref="BU27" ca="1">IF($B27="","",IF(ISBLANK(INDIRECT("R9.Web!D"&amp;SUM(18,38*37,8))),"",INDIRECT("R9.Web!D"&amp;SUM(18,38*37,8))))</f>
        <v>N/A</v>
      </c>
      <c r="BV27" s="75" t="str" cm="1">
        <f t="array" aca="1" ref="BV27" ca="1">IF($B27="","",IF(ISBLANK(INDIRECT("R9.Web!D"&amp;SUM(18,38*38,8))),"",INDIRECT("R9.Web!D"&amp;SUM(18,38*38,8))))</f>
        <v>Pasa</v>
      </c>
      <c r="BW27" s="75" t="str" cm="1">
        <f t="array" aca="1" ref="BW27" ca="1">IF($B27="","",IF(ISBLANK(INDIRECT("R9.Web!D"&amp;SUM(18,38*39,8))),"",INDIRECT("R9.Web!D"&amp;SUM(18,38*39,8))))</f>
        <v>Pasa</v>
      </c>
      <c r="BX27" s="75" t="str" cm="1">
        <f t="array" aca="1" ref="BX27" ca="1">IF($B27="","",IF(ISBLANK(INDIRECT("R9.Web!D"&amp;SUM(18,38*40,8))),"",INDIRECT("R9.Web!D"&amp;SUM(18,38*40,8))))</f>
        <v>Pasa</v>
      </c>
      <c r="BY27" s="75" t="str" cm="1">
        <f t="array" aca="1" ref="BY27" ca="1">IF($B27="","",IF(ISBLANK(INDIRECT("R9.Web!D"&amp;SUM(18,38*41,8))),"",INDIRECT("R9.Web!D"&amp;SUM(18,38*41,8))))</f>
        <v>Pasa</v>
      </c>
      <c r="BZ27" s="75" t="str" cm="1">
        <f t="array" aca="1" ref="BZ27" ca="1">IF($B27="","",IF(ISBLANK(INDIRECT("R9.Web!D"&amp;SUM(18,38*42,8))),"",INDIRECT("R9.Web!D"&amp;SUM(18,38*42,8))))</f>
        <v>N/A</v>
      </c>
      <c r="CA27" s="75" t="str" cm="1">
        <f t="array" aca="1" ref="CA27" ca="1">IF($B27="","",IF(ISBLANK(INDIRECT("R9.Web!D"&amp;SUM(18,38*43,8))),"",INDIRECT("R9.Web!D"&amp;SUM(18,38*43,8))))</f>
        <v>Pasa</v>
      </c>
      <c r="CB27" s="75" t="str" cm="1">
        <f t="array" aca="1" ref="CB27" ca="1">IF($B27="","",IF(ISBLANK(INDIRECT("R9.Web!D"&amp;SUM(18,38*44,8))),"",INDIRECT("R9.Web!D"&amp;SUM(18,38*44,8))))</f>
        <v>N/A</v>
      </c>
      <c r="CC27" s="75" t="str" cm="1">
        <f t="array" aca="1" ref="CC27" ca="1">IF($B27="","",IF(ISBLANK(INDIRECT("R9.Web!D"&amp;SUM(18,38*45,8))),"",INDIRECT("R9.Web!D"&amp;SUM(18,38*45,8))))</f>
        <v>N/A</v>
      </c>
      <c r="CD27" s="75" t="str" cm="1">
        <f t="array" aca="1" ref="CD27" ca="1">IF($B27="","",IF(ISBLANK(INDIRECT("R9.Web!D"&amp;SUM(18,38*46,8))),"",INDIRECT("R9.Web!D"&amp;SUM(18,38*46,8))))</f>
        <v>Pasa</v>
      </c>
      <c r="CE27" s="75" t="str" cm="1">
        <f t="array" aca="1" ref="CE27" ca="1">IF($B27="","",IF(ISBLANK(INDIRECT("R9.Web!D"&amp;SUM(18,38*47,8))),"",INDIRECT("R9.Web!D"&amp;SUM(18,38*47,8))))</f>
        <v>Pasa</v>
      </c>
      <c r="CF27" s="75" t="str" cm="1">
        <f t="array" aca="1" ref="CF27" ca="1">IF($B27="","",IF(ISBLANK(INDIRECT("R9.Web!D"&amp;SUM(18,38*48,8))),"",INDIRECT("R9.Web!D"&amp;SUM(18,38*48,8))))</f>
        <v>Pasa</v>
      </c>
      <c r="CG27" s="75" t="str" cm="1">
        <f t="array" aca="1" ref="CG27" ca="1">IF($B27="","",IF(ISBLANK(INDIRECT("R9.Web!D"&amp;SUM(18,38*49,8))),"",INDIRECT("R9.Web!D"&amp;SUM(18,38*49,8))))</f>
        <v>Falla</v>
      </c>
      <c r="CH27" s="75" t="str" cm="1">
        <f t="array" aca="1" ref="CH27" ca="1">IF($B27="","",IF(ISBLANK(INDIRECT("R11.Software!D"&amp;SUM(18,38*0,8))),"",INDIRECT("R11.Software!D"&amp;SUM(18,38*0,8))))</f>
        <v>N/A</v>
      </c>
      <c r="CI27" s="75" t="str" cm="1">
        <f t="array" aca="1" ref="CI27" ca="1">IF($B27="","",IF(ISBLANK(INDIRECT("R11.Software!D"&amp;SUM(18,38*1,8))),"",INDIRECT("R11.Software!D"&amp;SUM(18,38*1,8))))</f>
        <v>N/A</v>
      </c>
      <c r="CJ27" s="75" t="str" cm="1">
        <f t="array" aca="1" ref="CJ27" ca="1">IF($B27="","",IF(ISBLANK(INDIRECT("R11.Software!D"&amp;SUM(18,38*2,8))),"",INDIRECT("R11.Software!D"&amp;SUM(18,38*2,8))))</f>
        <v>N/A</v>
      </c>
      <c r="CK27" s="75" t="str" cm="1">
        <f t="array" aca="1" ref="CK27" ca="1">IF($B27="","",IF(ISBLANK(INDIRECT("R11.Software!D"&amp;SUM(18,38*3,8))),"",INDIRECT("R11.Software!D"&amp;SUM(18,38*3,8))))</f>
        <v>N/A</v>
      </c>
      <c r="CL27" s="75" t="str" cm="1">
        <f t="array" aca="1" ref="CL27" ca="1">IF($B27="","",IF(ISBLANK(INDIRECT("R11.Software!D"&amp;SUM(18,38*4,8))),"",INDIRECT("R11.Software!D"&amp;SUM(18,38*4,8))))</f>
        <v>N/A</v>
      </c>
      <c r="CM27" s="75" t="str" cm="1">
        <f t="array" aca="1" ref="CM27" ca="1">IF($B27="","",IF(ISBLANK(INDIRECT("R11.Software!D"&amp;SUM(18,38*5,8))),"",INDIRECT("R11.Software!D"&amp;SUM(18,38*5,8))))</f>
        <v>N/A</v>
      </c>
      <c r="CN27" s="75" t="str" cm="1">
        <f t="array" aca="1" ref="CN27" ca="1">IF($B27="","",IF(ISBLANK(INDIRECT("R12.ServiciosApoyo!D"&amp;SUM(18,38*0,8))),"",INDIRECT("R12.ServiciosApoyo!D"&amp;SUM(18,38*0,8))))</f>
        <v>Pasa</v>
      </c>
      <c r="CO27" s="75" t="str" cm="1">
        <f t="array" aca="1" ref="CO27" ca="1">IF($B27="","",IF(ISBLANK(INDIRECT("R12.ServiciosApoyo!D"&amp;SUM(18,38*1,8))),"",INDIRECT("R12.ServiciosApoyo!D"&amp;SUM(18,38*1,8))))</f>
        <v>Falla</v>
      </c>
      <c r="CP27" s="75" t="str" cm="1">
        <f t="array" aca="1" ref="CP27" ca="1">IF($B27="","",IF(ISBLANK(INDIRECT("R12.ServiciosApoyo!D"&amp;SUM(18,38*2,8))),"",INDIRECT("R12.ServiciosApoyo!D"&amp;SUM(18,38*2,8))))</f>
        <v>Pasa</v>
      </c>
      <c r="CQ27" s="75" t="str" cm="1">
        <f t="array" aca="1" ref="CQ27" ca="1">IF($B27="","",IF(ISBLANK(INDIRECT("R12.ServiciosApoyo!D"&amp;SUM(18,38*3,8))),"",INDIRECT("R12.ServiciosApoyo!D"&amp;SUM(18,38*3,8))))</f>
        <v>Pasa</v>
      </c>
      <c r="CR27" s="75" t="str" cm="1">
        <f t="array" aca="1" ref="CR27" ca="1">IF($B27="","",IF(ISBLANK(INDIRECT("R12.ServiciosApoyo!D"&amp;SUM(18,38*4,8))),"",INDIRECT("R12.ServiciosApoyo!D"&amp;SUM(18,38*4,8))))</f>
        <v>N/A</v>
      </c>
      <c r="CU27" s="76"/>
    </row>
    <row r="28" spans="2:100" ht="20">
      <c r="B28" s="39" cm="1">
        <f t="array" ref="B28">IFERROR(INDEX('03.Muestra'!$B$8:$B$42,SMALL(IF("Página Web"='03.Muestra'!$D$8:$D$42,ROW('03.Muestra'!$B$8:$B$42)-MIN(ROW('03.Muestra'!$D$8:$D$42))+1,""),ROW()-19)),"")</f>
        <v>9</v>
      </c>
      <c r="C28" s="73" t="str" cm="1">
        <f t="array" ref="C28">IFERROR(INDEX('03.Muestra'!$C$8:$C$42,SMALL(IF("Página Web"='03.Muestra'!$D$8:$D$42,ROW('03.Muestra'!$C$8:$C$42)-MIN(ROW('03.Muestra'!$D$8:$D$42))+1,""),ROW()-19)),"")</f>
        <v>Mapa Web</v>
      </c>
      <c r="D28" s="74" t="str" cm="1">
        <f t="array" ref="D28">IFERROR(INDEX('03.Muestra'!$F$8:$F$42,SMALL(IF("Página Web"='03.Muestra'!$D$8:$D$42,ROW('03.Muestra'!$F$8:$F$42)-MIN(ROW('03.Muestra'!$D$8:$D$42))+1,""),ROW()-19)),"")</f>
        <v>https://www.comunidad.madrid/hospital/atencionprimaria/sitemap</v>
      </c>
      <c r="E28" s="75" t="str" cm="1">
        <f t="array" aca="1" ref="E28" ca="1">IF($B28="","",IF(ISBLANK(INDIRECT("R5.Genéricos!D"&amp;SUM(18,38*0,9))),"",INDIRECT("R5.Genéricos!D"&amp;SUM(18,38*0,9))))</f>
        <v>N/A</v>
      </c>
      <c r="F28" s="75" t="str" cm="1">
        <f t="array" aca="1" ref="F28" ca="1">IF($B28="","",IF(ISBLANK(INDIRECT("R5.Genéricos!D"&amp;SUM(18,38*1,9))),"",INDIRECT("R5.Genéricos!D"&amp;SUM(18,38*1,9))))</f>
        <v>N/A</v>
      </c>
      <c r="G28" s="75" t="str" cm="1">
        <f t="array" aca="1" ref="G28" ca="1">IF($B28="","",IF(ISBLANK(INDIRECT("R5.Genéricos!D"&amp;SUM(18,38*2,9))),"",INDIRECT("R5.Genéricos!D"&amp;SUM(18,38*2,9))))</f>
        <v>N/A</v>
      </c>
      <c r="H28" s="75" t="str" cm="1">
        <f t="array" aca="1" ref="H28" ca="1">IF($B28="","",IF(ISBLANK(INDIRECT("R6.Voz!D"&amp;SUM(18,38*0,9))),"",INDIRECT("R6.Voz!D"&amp;SUM(18,38*0,9))))</f>
        <v>N/A</v>
      </c>
      <c r="I28" s="75" t="str" cm="1">
        <f t="array" aca="1" ref="I28" ca="1">IF($B28="","",IF(ISBLANK(INDIRECT("R6.Voz!D"&amp;SUM(18,38*1,9))),"",INDIRECT("R6.Voz!D"&amp;SUM(18,38*1,9))))</f>
        <v>N/A</v>
      </c>
      <c r="J28" s="75" t="str" cm="1">
        <f t="array" aca="1" ref="J28" ca="1">IF($B28="","",IF(ISBLANK(INDIRECT("R6.Voz!D"&amp;SUM(18,38*2,9))),"",INDIRECT("R6.Voz!D"&amp;SUM(18,38*2,9))))</f>
        <v>N/A</v>
      </c>
      <c r="K28" s="75" t="str" cm="1">
        <f t="array" aca="1" ref="K28" ca="1">IF($B28="","",IF(ISBLANK(INDIRECT("R6.Voz!D"&amp;SUM(18,38*3,9))),"",INDIRECT("R6.Voz!D"&amp;SUM(18,38*3,9))))</f>
        <v>N/A</v>
      </c>
      <c r="L28" s="75" t="str" cm="1">
        <f t="array" aca="1" ref="L28" ca="1">IF($B28="","",IF(ISBLANK(INDIRECT("R6.Voz!D"&amp;SUM(18,38*4,9))),"",INDIRECT("R6.Voz!D"&amp;SUM(18,38*4,9))))</f>
        <v>N/A</v>
      </c>
      <c r="M28" s="75" t="str" cm="1">
        <f t="array" aca="1" ref="M28" ca="1">IF($B28="","",IF(ISBLANK(INDIRECT("R6.Voz!D"&amp;SUM(18,38*5,9))),"",INDIRECT("R6.Voz!D"&amp;SUM(18,38*5,9))))</f>
        <v>N/A</v>
      </c>
      <c r="N28" s="75" t="str" cm="1">
        <f t="array" aca="1" ref="N28" ca="1">IF($B28="","",IF(ISBLANK(INDIRECT("R6.Voz!D"&amp;SUM(18,38*6,9))),"",INDIRECT("R6.Voz!D"&amp;SUM(18,38*6,9))))</f>
        <v>N/A</v>
      </c>
      <c r="O28" s="75" t="str" cm="1">
        <f t="array" aca="1" ref="O28" ca="1">IF($B28="","",IF(ISBLANK(INDIRECT("R6.Voz!D"&amp;SUM(18,38*7,9))),"",INDIRECT("R6.Voz!D"&amp;SUM(18,38*7,9))))</f>
        <v>N/A</v>
      </c>
      <c r="P28" s="75" t="str" cm="1">
        <f t="array" aca="1" ref="P28" ca="1">IF($B28="","",IF(ISBLANK(INDIRECT("R6.Voz!D"&amp;SUM(18,38*8,9))),"",INDIRECT("R6.Voz!D"&amp;SUM(18,38*8,9))))</f>
        <v>N/A</v>
      </c>
      <c r="Q28" s="75" t="str" cm="1">
        <f t="array" aca="1" ref="Q28" ca="1">IF($B28="","",IF(ISBLANK(INDIRECT("R6.Voz!D"&amp;SUM(18,38*9,9))),"",INDIRECT("R6.Voz!D"&amp;SUM(18,38*9,9))))</f>
        <v>N/A</v>
      </c>
      <c r="R28" s="75" t="str" cm="1">
        <f t="array" aca="1" ref="R28" ca="1">IF($B28="","",IF(ISBLANK(INDIRECT("R6.Voz!D"&amp;SUM(18,38*10,9))),"",INDIRECT("R6.Voz!D"&amp;SUM(18,38*10,9))))</f>
        <v>N/A</v>
      </c>
      <c r="S28" s="75" t="str" cm="1">
        <f t="array" aca="1" ref="S28" ca="1">IF($B28="","",IF(ISBLANK(INDIRECT("R6.Voz!D"&amp;SUM(18,38*11,9))),"",INDIRECT("R6.Voz!D"&amp;SUM(18,38*11,9))))</f>
        <v>N/A</v>
      </c>
      <c r="T28" s="75" t="str" cm="1">
        <f t="array" aca="1" ref="T28" ca="1">IF($B28="","",IF(ISBLANK(INDIRECT("R6.Voz!D"&amp;SUM(18,38*12,9))),"",INDIRECT("R6.Voz!D"&amp;SUM(18,38*12,9))))</f>
        <v>N/A</v>
      </c>
      <c r="U28" s="75" t="str" cm="1">
        <f t="array" aca="1" ref="U28" ca="1">IF($B28="","",IF(ISBLANK(INDIRECT("R6.Voz!D"&amp;SUM(18,38*13,9))),"",INDIRECT("R6.Voz!D"&amp;SUM(18,38*13,9))))</f>
        <v>N/A</v>
      </c>
      <c r="V28" s="75" t="str" cm="1">
        <f t="array" aca="1" ref="V28" ca="1">IF($B28="","",IF(ISBLANK(INDIRECT("R6.Voz!D"&amp;SUM(18,38*14,9))),"",INDIRECT("R6.Voz!D"&amp;SUM(18,38*14,9))))</f>
        <v>N/A</v>
      </c>
      <c r="W28" s="75" t="str" cm="1">
        <f t="array" aca="1" ref="W28" ca="1">IF($B28="","",IF(ISBLANK(INDIRECT("R6.Voz!D"&amp;SUM(18,38*15,9))),"",INDIRECT("R6.Voz!D"&amp;SUM(18,38*15,9))))</f>
        <v>N/A</v>
      </c>
      <c r="X28" s="75" t="str" cm="1">
        <f t="array" aca="1" ref="X28" ca="1">IF($B28="","",IF(ISBLANK(INDIRECT("R6.Voz!D"&amp;SUM(18,38*16,9))),"",INDIRECT("R6.Voz!D"&amp;SUM(18,38*16,9))))</f>
        <v>N/A</v>
      </c>
      <c r="Y28" s="75" t="str" cm="1">
        <f t="array" aca="1" ref="Y28" ca="1">IF($B28="","",IF(ISBLANK(INDIRECT("R6.Voz!D"&amp;SUM(18,38*17,9))),"",INDIRECT("R6.Voz!D"&amp;SUM(18,38*17,9))))</f>
        <v>N/A</v>
      </c>
      <c r="Z28" s="75" t="str" cm="1">
        <f t="array" aca="1" ref="Z28" ca="1">IF($B28="","",IF(ISBLANK(INDIRECT("R6.Voz!D"&amp;SUM(18,38*18,9))),"",INDIRECT("R6.Voz!D"&amp;SUM(18,38*18,9))))</f>
        <v>N/A</v>
      </c>
      <c r="AA28" s="75" t="str" cm="1">
        <f t="array" aca="1" ref="AA28" ca="1">IF($B28="","",IF(ISBLANK(INDIRECT("R7.Video!D"&amp;SUM(18,38*0,9))),"",INDIRECT("R7.Video!D"&amp;SUM(18,38*0,9))))</f>
        <v>N/A</v>
      </c>
      <c r="AB28" s="75" t="str" cm="1">
        <f t="array" aca="1" ref="AB28" ca="1">IF($B28="","",IF(ISBLANK(INDIRECT("R7.Video!D"&amp;SUM(18,38*1,9))),"",INDIRECT("R7.Video!D"&amp;SUM(18,38*1,9))))</f>
        <v>Pasa</v>
      </c>
      <c r="AC28" s="75" t="str" cm="1">
        <f t="array" aca="1" ref="AC28" ca="1">IF($B28="","",IF(ISBLANK(INDIRECT("R7.Video!D"&amp;SUM(18,38*2,9))),"",INDIRECT("R7.Video!D"&amp;SUM(18,38*2,9))))</f>
        <v>N/A</v>
      </c>
      <c r="AD28" s="75" t="str" cm="1">
        <f t="array" aca="1" ref="AD28" ca="1">IF($B28="","",IF(ISBLANK(INDIRECT("R7.Video!D"&amp;SUM(18,38*3,9))),"",INDIRECT("R7.Video!D"&amp;SUM(18,38*3,9))))</f>
        <v>N/A</v>
      </c>
      <c r="AE28" s="75" t="str" cm="1">
        <f t="array" aca="1" ref="AE28" ca="1">IF($B28="","",IF(ISBLANK(INDIRECT("R7.Video!D"&amp;SUM(18,38*4,9))),"",INDIRECT("R7.Video!D"&amp;SUM(18,38*4,9))))</f>
        <v>N/A</v>
      </c>
      <c r="AF28" s="75" t="str" cm="1">
        <f t="array" aca="1" ref="AF28" ca="1">IF($B28="","",IF(ISBLANK(INDIRECT("R7.Video!D"&amp;SUM(18,38*5,9))),"",INDIRECT("R7.Video!D"&amp;SUM(18,38*5,9))))</f>
        <v>N/A</v>
      </c>
      <c r="AG28" s="75" t="str" cm="1">
        <f t="array" aca="1" ref="AG28" ca="1">IF($B28="","",IF(ISBLANK(INDIRECT("R7.Video!D"&amp;SUM(18,38*6,9))),"",INDIRECT("R7.Video!D"&amp;SUM(18,38*6,9))))</f>
        <v>N/A</v>
      </c>
      <c r="AH28" s="75" t="str" cm="1">
        <f t="array" aca="1" ref="AH28" ca="1">IF($B28="","",IF(ISBLANK(INDIRECT("R7.Video!D"&amp;SUM(18,38*7,9))),"",INDIRECT("R7.Video!D"&amp;SUM(18,38*7,9))))</f>
        <v>N/A</v>
      </c>
      <c r="AI28" s="75" t="str" cm="1">
        <f t="array" aca="1" ref="AI28" ca="1">IF($B28="","",IF(ISBLANK(INDIRECT("R7.Video!D"&amp;SUM(18,38*8,9))),"",INDIRECT("R7.Video!D"&amp;SUM(18,38*8,9))))</f>
        <v>N/A</v>
      </c>
      <c r="AJ28" s="75" t="str" cm="1">
        <f t="array" aca="1" ref="AJ28" ca="1">IF($B28="","",IF(ISBLANK(INDIRECT("R9.Web!D"&amp;SUM(18,38*0,9))),"",INDIRECT("R9.Web!D"&amp;SUM(18,38*0,9))))</f>
        <v>Pasa</v>
      </c>
      <c r="AK28" s="75" t="str" cm="1">
        <f t="array" aca="1" ref="AK28" ca="1">IF($B28="","",IF(ISBLANK(INDIRECT("R9.Web!D"&amp;SUM(18,38*1,9))),"",INDIRECT("R9.Web!D"&amp;SUM(18,38*1,9))))</f>
        <v>N/A</v>
      </c>
      <c r="AL28" s="75" t="str" cm="1">
        <f t="array" aca="1" ref="AL28" ca="1">IF($B28="","",IF(ISBLANK(INDIRECT("R9.Web!D"&amp;SUM(18,38*2,9))),"",INDIRECT("R9.Web!D"&amp;SUM(18,38*2,9))))</f>
        <v>N/A</v>
      </c>
      <c r="AM28" s="75" t="str" cm="1">
        <f t="array" aca="1" ref="AM28" ca="1">IF($B28="","",IF(ISBLANK(INDIRECT("R9.Web!D"&amp;SUM(18,38*3,9))),"",INDIRECT("R9.Web!D"&amp;SUM(18,38*3,9))))</f>
        <v>N/A</v>
      </c>
      <c r="AN28" s="75" t="str" cm="1">
        <f t="array" aca="1" ref="AN28" ca="1">IF($B28="","",IF(ISBLANK(INDIRECT("R9.Web!D"&amp;SUM(18,38*4,9))),"",INDIRECT("R9.Web!D"&amp;SUM(18,38*4,9))))</f>
        <v>N/A</v>
      </c>
      <c r="AO28" s="75" t="str" cm="1">
        <f t="array" aca="1" ref="AO28" ca="1">IF($B28="","",IF(ISBLANK(INDIRECT("R9.Web!D"&amp;SUM(18,38*5,9))),"",INDIRECT("R9.Web!D"&amp;SUM(18,38*5,9))))</f>
        <v>Pasa</v>
      </c>
      <c r="AP28" s="75" t="str" cm="1">
        <f t="array" aca="1" ref="AP28" ca="1">IF($B28="","",IF(ISBLANK(INDIRECT("R9.Web!D"&amp;SUM(18,38*6,9))),"",INDIRECT("R9.Web!D"&amp;SUM(18,38*6,9))))</f>
        <v>Falla</v>
      </c>
      <c r="AQ28" s="75" t="str" cm="1">
        <f t="array" aca="1" ref="AQ28" ca="1">IF($B28="","",IF(ISBLANK(INDIRECT("R9.Web!D"&amp;SUM(18,38*7,9))),"",INDIRECT("R9.Web!D"&amp;SUM(18,38*7,9))))</f>
        <v>Falla</v>
      </c>
      <c r="AR28" s="75" t="str" cm="1">
        <f t="array" aca="1" ref="AR28" ca="1">IF($B28="","",IF(ISBLANK(INDIRECT("R9.Web!D"&amp;SUM(18,38*8,9))),"",INDIRECT("R9.Web!D"&amp;SUM(18,38*8,9))))</f>
        <v>Pasa</v>
      </c>
      <c r="AS28" s="75" t="str" cm="1">
        <f t="array" aca="1" ref="AS28" ca="1">IF($B28="","",IF(ISBLANK(INDIRECT("R9.Web!D"&amp;SUM(18,38*9,9))),"",INDIRECT("R9.Web!D"&amp;SUM(18,38*9,9))))</f>
        <v>N/A</v>
      </c>
      <c r="AT28" s="75" t="str" cm="1">
        <f t="array" aca="1" ref="AT28" ca="1">IF($B28="","",IF(ISBLANK(INDIRECT("R9.Web!D"&amp;SUM(18,38*10,9))),"",INDIRECT("R9.Web!D"&amp;SUM(18,38*10,9))))</f>
        <v>Pasa</v>
      </c>
      <c r="AU28" s="75" t="str" cm="1">
        <f t="array" aca="1" ref="AU28" ca="1">IF($B28="","",IF(ISBLANK(INDIRECT("R9.Web!D"&amp;SUM(18,38*11,9))),"",INDIRECT("R9.Web!D"&amp;SUM(18,38*11,9))))</f>
        <v>N/A</v>
      </c>
      <c r="AV28" s="75" t="str" cm="1">
        <f t="array" aca="1" ref="AV28" ca="1">IF($B28="","",IF(ISBLANK(INDIRECT("R9.Web!D"&amp;SUM(18,38*12,9))),"",INDIRECT("R9.Web!D"&amp;SUM(18,38*12,9))))</f>
        <v>Pasa</v>
      </c>
      <c r="AW28" s="75" t="str" cm="1">
        <f t="array" aca="1" ref="AW28" ca="1">IF($B28="","",IF(ISBLANK(INDIRECT("R9.Web!D"&amp;SUM(18,38*13,9))),"",INDIRECT("R9.Web!D"&amp;SUM(18,38*13,9))))</f>
        <v>Falla</v>
      </c>
      <c r="AX28" s="75" t="str" cm="1">
        <f t="array" aca="1" ref="AX28" ca="1">IF($B28="","",IF(ISBLANK(INDIRECT("R9.Web!D"&amp;SUM(18,38*14,9))),"",INDIRECT("R9.Web!D"&amp;SUM(18,38*14,9))))</f>
        <v>N/A</v>
      </c>
      <c r="AY28" s="75" t="str" cm="1">
        <f t="array" aca="1" ref="AY28" ca="1">IF($B28="","",IF(ISBLANK(INDIRECT("R9.Web!D"&amp;SUM(18,38*15,9))),"",INDIRECT("R9.Web!D"&amp;SUM(18,38*15,9))))</f>
        <v>Falla</v>
      </c>
      <c r="AZ28" s="75" t="str" cm="1">
        <f t="array" aca="1" ref="AZ28" ca="1">IF($B28="","",IF(ISBLANK(INDIRECT("R9.Web!D"&amp;SUM(18,38*16,9))),"",INDIRECT("R9.Web!D"&amp;SUM(18,38*16,9))))</f>
        <v>Pasa</v>
      </c>
      <c r="BA28" s="75" t="str" cm="1">
        <f t="array" aca="1" ref="BA28" ca="1">IF($B28="","",IF(ISBLANK(INDIRECT("R9.Web!D"&amp;SUM(18,38*17,9))),"",INDIRECT("R9.Web!D"&amp;SUM(18,38*17,9))))</f>
        <v>Pasa</v>
      </c>
      <c r="BB28" s="75" t="str" cm="1">
        <f t="array" aca="1" ref="BB28" ca="1">IF($B28="","",IF(ISBLANK(INDIRECT("R9.Web!D"&amp;SUM(18,38*18,9))),"",INDIRECT("R9.Web!D"&amp;SUM(18,38*18,9))))</f>
        <v>N/A</v>
      </c>
      <c r="BC28" s="75" t="str" cm="1">
        <f t="array" aca="1" ref="BC28" ca="1">IF($B28="","",IF(ISBLANK(INDIRECT("R9.Web!D"&amp;SUM(18,38*19,9))),"",INDIRECT("R9.Web!D"&amp;SUM(18,38*19,9))))</f>
        <v>Falla</v>
      </c>
      <c r="BD28" s="75" t="str" cm="1">
        <f t="array" aca="1" ref="BD28" ca="1">IF($B28="","",IF(ISBLANK(INDIRECT("R9.Web!D"&amp;SUM(18,38*20,9))),"",INDIRECT("R9.Web!D"&amp;SUM(18,38*20,9))))</f>
        <v>Pasa</v>
      </c>
      <c r="BE28" s="75" t="str" cm="1">
        <f t="array" aca="1" ref="BE28" ca="1">IF($B28="","",IF(ISBLANK(INDIRECT("R9.Web!D"&amp;SUM(18,38*21,9))),"",INDIRECT("R9.Web!D"&amp;SUM(18,38*21,9))))</f>
        <v>N/A</v>
      </c>
      <c r="BF28" s="75" t="str" cm="1">
        <f t="array" aca="1" ref="BF28" ca="1">IF($B28="","",IF(ISBLANK(INDIRECT("R9.Web!D"&amp;SUM(18,38*22,9))),"",INDIRECT("R9.Web!D"&amp;SUM(18,38*22,9))))</f>
        <v>N/A</v>
      </c>
      <c r="BG28" s="75" t="str" cm="1">
        <f t="array" aca="1" ref="BG28" ca="1">IF($B28="","",IF(ISBLANK(INDIRECT("R9.Web!D"&amp;SUM(18,38*23,9))),"",INDIRECT("R9.Web!D"&amp;SUM(18,38*23,9))))</f>
        <v>N/A</v>
      </c>
      <c r="BH28" s="75" t="str" cm="1">
        <f t="array" aca="1" ref="BH28" ca="1">IF($B28="","",IF(ISBLANK(INDIRECT("R9.Web!D"&amp;SUM(18,38*24,9))),"",INDIRECT("R9.Web!D"&amp;SUM(18,38*24,9))))</f>
        <v>N/A</v>
      </c>
      <c r="BI28" s="75" t="str" cm="1">
        <f t="array" aca="1" ref="BI28" ca="1">IF($B28="","",IF(ISBLANK(INDIRECT("R9.Web!D"&amp;SUM(18,38*25,9))),"",INDIRECT("R9.Web!D"&amp;SUM(18,38*25,9))))</f>
        <v>Pasa</v>
      </c>
      <c r="BJ28" s="75" t="str" cm="1">
        <f t="array" aca="1" ref="BJ28" ca="1">IF($B28="","",IF(ISBLANK(INDIRECT("R9.Web!D"&amp;SUM(18,38*26,9))),"",INDIRECT("R9.Web!D"&amp;SUM(18,38*26,9))))</f>
        <v>Pasa</v>
      </c>
      <c r="BK28" s="75" t="str" cm="1">
        <f t="array" aca="1" ref="BK28" ca="1">IF($B28="","",IF(ISBLANK(INDIRECT("R9.Web!D"&amp;SUM(18,38*27,9))),"",INDIRECT("R9.Web!D"&amp;SUM(18,38*27,9))))</f>
        <v>Falla</v>
      </c>
      <c r="BL28" s="75" t="str" cm="1">
        <f t="array" aca="1" ref="BL28" ca="1">IF($B28="","",IF(ISBLANK(INDIRECT("R9.Web!D"&amp;SUM(18,38*28,9))),"",INDIRECT("R9.Web!D"&amp;SUM(18,38*28,9))))</f>
        <v>Pasa</v>
      </c>
      <c r="BM28" s="75" t="str" cm="1">
        <f t="array" aca="1" ref="BM28" ca="1">IF($B28="","",IF(ISBLANK(INDIRECT("R9.Web!D"&amp;SUM(18,38*29,9))),"",INDIRECT("R9.Web!D"&amp;SUM(18,38*29,9))))</f>
        <v>Pasa</v>
      </c>
      <c r="BN28" s="75" t="str" cm="1">
        <f t="array" aca="1" ref="BN28" ca="1">IF($B28="","",IF(ISBLANK(INDIRECT("R9.Web!D"&amp;SUM(18,38*30,9))),"",INDIRECT("R9.Web!D"&amp;SUM(18,38*30,9))))</f>
        <v>Pasa</v>
      </c>
      <c r="BO28" s="75" t="str" cm="1">
        <f t="array" aca="1" ref="BO28" ca="1">IF($B28="","",IF(ISBLANK(INDIRECT("R9.Web!D"&amp;SUM(18,38*31,9))),"",INDIRECT("R9.Web!D"&amp;SUM(18,38*31,9))))</f>
        <v>Falla</v>
      </c>
      <c r="BP28" s="75" t="str" cm="1">
        <f t="array" aca="1" ref="BP28" ca="1">IF($B28="","",IF(ISBLANK(INDIRECT("R9.Web!D"&amp;SUM(18,38*32,9))),"",INDIRECT("R9.Web!D"&amp;SUM(18,38*32,9))))</f>
        <v>N/A</v>
      </c>
      <c r="BQ28" s="75" t="str" cm="1">
        <f t="array" aca="1" ref="BQ28" ca="1">IF($B28="","",IF(ISBLANK(INDIRECT("R9.Web!D"&amp;SUM(18,38*33,9))),"",INDIRECT("R9.Web!D"&amp;SUM(18,38*33,9))))</f>
        <v>Pasa</v>
      </c>
      <c r="BR28" s="75" t="str" cm="1">
        <f t="array" aca="1" ref="BR28" ca="1">IF($B28="","",IF(ISBLANK(INDIRECT("R9.Web!D"&amp;SUM(18,38*34,9))),"",INDIRECT("R9.Web!D"&amp;SUM(18,38*34,9))))</f>
        <v>Pasa</v>
      </c>
      <c r="BS28" s="75" t="str" cm="1">
        <f t="array" aca="1" ref="BS28" ca="1">IF($B28="","",IF(ISBLANK(INDIRECT("R9.Web!D"&amp;SUM(18,38*35,9))),"",INDIRECT("R9.Web!D"&amp;SUM(18,38*35,9))))</f>
        <v>N/A</v>
      </c>
      <c r="BT28" s="75" t="str" cm="1">
        <f t="array" aca="1" ref="BT28" ca="1">IF($B28="","",IF(ISBLANK(INDIRECT("R9.Web!D"&amp;SUM(18,38*36,9))),"",INDIRECT("R9.Web!D"&amp;SUM(18,38*36,9))))</f>
        <v>Pasa</v>
      </c>
      <c r="BU28" s="75" t="str" cm="1">
        <f t="array" aca="1" ref="BU28" ca="1">IF($B28="","",IF(ISBLANK(INDIRECT("R9.Web!D"&amp;SUM(18,38*37,9))),"",INDIRECT("R9.Web!D"&amp;SUM(18,38*37,9))))</f>
        <v>N/A</v>
      </c>
      <c r="BV28" s="75" t="str" cm="1">
        <f t="array" aca="1" ref="BV28" ca="1">IF($B28="","",IF(ISBLANK(INDIRECT("R9.Web!D"&amp;SUM(18,38*38,9))),"",INDIRECT("R9.Web!D"&amp;SUM(18,38*38,9))))</f>
        <v>Pasa</v>
      </c>
      <c r="BW28" s="75" t="str" cm="1">
        <f t="array" aca="1" ref="BW28" ca="1">IF($B28="","",IF(ISBLANK(INDIRECT("R9.Web!D"&amp;SUM(18,38*39,9))),"",INDIRECT("R9.Web!D"&amp;SUM(18,38*39,9))))</f>
        <v>Pasa</v>
      </c>
      <c r="BX28" s="75" t="str" cm="1">
        <f t="array" aca="1" ref="BX28" ca="1">IF($B28="","",IF(ISBLANK(INDIRECT("R9.Web!D"&amp;SUM(18,38*40,9))),"",INDIRECT("R9.Web!D"&amp;SUM(18,38*40,9))))</f>
        <v>Pasa</v>
      </c>
      <c r="BY28" s="75" t="str" cm="1">
        <f t="array" aca="1" ref="BY28" ca="1">IF($B28="","",IF(ISBLANK(INDIRECT("R9.Web!D"&amp;SUM(18,38*41,9))),"",INDIRECT("R9.Web!D"&amp;SUM(18,38*41,9))))</f>
        <v>Pasa</v>
      </c>
      <c r="BZ28" s="75" t="str" cm="1">
        <f t="array" aca="1" ref="BZ28" ca="1">IF($B28="","",IF(ISBLANK(INDIRECT("R9.Web!D"&amp;SUM(18,38*42,9))),"",INDIRECT("R9.Web!D"&amp;SUM(18,38*42,9))))</f>
        <v>N/A</v>
      </c>
      <c r="CA28" s="75" t="str" cm="1">
        <f t="array" aca="1" ref="CA28" ca="1">IF($B28="","",IF(ISBLANK(INDIRECT("R9.Web!D"&amp;SUM(18,38*43,9))),"",INDIRECT("R9.Web!D"&amp;SUM(18,38*43,9))))</f>
        <v>Pasa</v>
      </c>
      <c r="CB28" s="75" t="str" cm="1">
        <f t="array" aca="1" ref="CB28" ca="1">IF($B28="","",IF(ISBLANK(INDIRECT("R9.Web!D"&amp;SUM(18,38*44,9))),"",INDIRECT("R9.Web!D"&amp;SUM(18,38*44,9))))</f>
        <v>N/A</v>
      </c>
      <c r="CC28" s="75" t="str" cm="1">
        <f t="array" aca="1" ref="CC28" ca="1">IF($B28="","",IF(ISBLANK(INDIRECT("R9.Web!D"&amp;SUM(18,38*45,9))),"",INDIRECT("R9.Web!D"&amp;SUM(18,38*45,9))))</f>
        <v>N/A</v>
      </c>
      <c r="CD28" s="75" t="str" cm="1">
        <f t="array" aca="1" ref="CD28" ca="1">IF($B28="","",IF(ISBLANK(INDIRECT("R9.Web!D"&amp;SUM(18,38*46,9))),"",INDIRECT("R9.Web!D"&amp;SUM(18,38*46,9))))</f>
        <v>Pasa</v>
      </c>
      <c r="CE28" s="75" t="str" cm="1">
        <f t="array" aca="1" ref="CE28" ca="1">IF($B28="","",IF(ISBLANK(INDIRECT("R9.Web!D"&amp;SUM(18,38*47,9))),"",INDIRECT("R9.Web!D"&amp;SUM(18,38*47,9))))</f>
        <v>Pasa</v>
      </c>
      <c r="CF28" s="75" t="str" cm="1">
        <f t="array" aca="1" ref="CF28" ca="1">IF($B28="","",IF(ISBLANK(INDIRECT("R9.Web!D"&amp;SUM(18,38*48,9))),"",INDIRECT("R9.Web!D"&amp;SUM(18,38*48,9))))</f>
        <v>Pasa</v>
      </c>
      <c r="CG28" s="75" t="str" cm="1">
        <f t="array" aca="1" ref="CG28" ca="1">IF($B28="","",IF(ISBLANK(INDIRECT("R9.Web!D"&amp;SUM(18,38*49,9))),"",INDIRECT("R9.Web!D"&amp;SUM(18,38*49,9))))</f>
        <v>Falla</v>
      </c>
      <c r="CH28" s="75" t="str" cm="1">
        <f t="array" aca="1" ref="CH28" ca="1">IF($B28="","",IF(ISBLANK(INDIRECT("R11.Software!D"&amp;SUM(18,38*0,9))),"",INDIRECT("R11.Software!D"&amp;SUM(18,38*0,9))))</f>
        <v>N/A</v>
      </c>
      <c r="CI28" s="75" t="str" cm="1">
        <f t="array" aca="1" ref="CI28" ca="1">IF($B28="","",IF(ISBLANK(INDIRECT("R11.Software!D"&amp;SUM(18,38*1,9))),"",INDIRECT("R11.Software!D"&amp;SUM(18,38*1,9))))</f>
        <v>N/A</v>
      </c>
      <c r="CJ28" s="75" t="str" cm="1">
        <f t="array" aca="1" ref="CJ28" ca="1">IF($B28="","",IF(ISBLANK(INDIRECT("R11.Software!D"&amp;SUM(18,38*2,9))),"",INDIRECT("R11.Software!D"&amp;SUM(18,38*2,9))))</f>
        <v>N/A</v>
      </c>
      <c r="CK28" s="75" t="str" cm="1">
        <f t="array" aca="1" ref="CK28" ca="1">IF($B28="","",IF(ISBLANK(INDIRECT("R11.Software!D"&amp;SUM(18,38*3,9))),"",INDIRECT("R11.Software!D"&amp;SUM(18,38*3,9))))</f>
        <v>N/A</v>
      </c>
      <c r="CL28" s="75" t="str" cm="1">
        <f t="array" aca="1" ref="CL28" ca="1">IF($B28="","",IF(ISBLANK(INDIRECT("R11.Software!D"&amp;SUM(18,38*4,9))),"",INDIRECT("R11.Software!D"&amp;SUM(18,38*4,9))))</f>
        <v>N/A</v>
      </c>
      <c r="CM28" s="75" t="str" cm="1">
        <f t="array" aca="1" ref="CM28" ca="1">IF($B28="","",IF(ISBLANK(INDIRECT("R11.Software!D"&amp;SUM(18,38*5,9))),"",INDIRECT("R11.Software!D"&amp;SUM(18,38*5,9))))</f>
        <v>N/A</v>
      </c>
      <c r="CN28" s="75" t="str" cm="1">
        <f t="array" aca="1" ref="CN28" ca="1">IF($B28="","",IF(ISBLANK(INDIRECT("R12.ServiciosApoyo!D"&amp;SUM(18,38*0,9))),"",INDIRECT("R12.ServiciosApoyo!D"&amp;SUM(18,38*0,9))))</f>
        <v>Pasa</v>
      </c>
      <c r="CO28" s="75" t="str" cm="1">
        <f t="array" aca="1" ref="CO28" ca="1">IF($B28="","",IF(ISBLANK(INDIRECT("R12.ServiciosApoyo!D"&amp;SUM(18,38*1,9))),"",INDIRECT("R12.ServiciosApoyo!D"&amp;SUM(18,38*1,9))))</f>
        <v>Falla</v>
      </c>
      <c r="CP28" s="75" t="str" cm="1">
        <f t="array" aca="1" ref="CP28" ca="1">IF($B28="","",IF(ISBLANK(INDIRECT("R12.ServiciosApoyo!D"&amp;SUM(18,38*2,9))),"",INDIRECT("R12.ServiciosApoyo!D"&amp;SUM(18,38*2,9))))</f>
        <v>Pasa</v>
      </c>
      <c r="CQ28" s="75" t="str" cm="1">
        <f t="array" aca="1" ref="CQ28" ca="1">IF($B28="","",IF(ISBLANK(INDIRECT("R12.ServiciosApoyo!D"&amp;SUM(18,38*3,9))),"",INDIRECT("R12.ServiciosApoyo!D"&amp;SUM(18,38*3,9))))</f>
        <v>Pasa</v>
      </c>
      <c r="CR28" s="75" t="str" cm="1">
        <f t="array" aca="1" ref="CR28" ca="1">IF($B28="","",IF(ISBLANK(INDIRECT("R12.ServiciosApoyo!D"&amp;SUM(18,38*4,9))),"",INDIRECT("R12.ServiciosApoyo!D"&amp;SUM(18,38*4,9))))</f>
        <v>N/A</v>
      </c>
      <c r="CU28" s="76"/>
    </row>
    <row r="29" spans="2:100" ht="20">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CONFORME</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CONFORME</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CONFORME</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CONFORME</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NO 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NO CONFORME</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83" operator="equal">
      <formula>"N/D"</formula>
    </cfRule>
    <cfRule type="cellIs" dxfId="15" priority="782" operator="equal">
      <formula>"N/T"</formula>
    </cfRule>
    <cfRule type="cellIs" dxfId="14" priority="780" operator="equal">
      <formula>"Falla"</formula>
    </cfRule>
    <cfRule type="cellIs" dxfId="13" priority="779" operator="equal">
      <formula>"Pasa"</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6" operator="equal">
      <formula>"ERROR"</formula>
    </cfRule>
    <cfRule type="cellIs" dxfId="5" priority="785" operator="equal">
      <formula>"NO CONFORME"</formula>
    </cfRule>
    <cfRule type="cellIs" dxfId="4" priority="784" operator="equal">
      <formula>"CONFORME"</formula>
    </cfRule>
  </conditionalFormatting>
  <conditionalFormatting sqref="K14:L14">
    <cfRule type="cellIs" dxfId="3" priority="291" operator="equal">
      <formula>"NO"</formula>
    </cfRule>
    <cfRule type="cellIs" dxfId="2" priority="290" operator="equal">
      <formula>"SI"</formula>
    </cfRule>
  </conditionalFormatting>
  <conditionalFormatting sqref="CU20">
    <cfRule type="cellIs" dxfId="1" priority="789" operator="equal">
      <formula>"PASA"</formula>
    </cfRule>
    <cfRule type="cellIs" dxfId="0" priority="788" operator="equal">
      <formula>"FALLA"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6">
      <c r="B23" s="30" t="s">
        <v>447</v>
      </c>
    </row>
    <row r="25" spans="2:15" ht="16">
      <c r="B25" s="31" t="s">
        <v>448</v>
      </c>
      <c r="C25" s="32">
        <v>0.1</v>
      </c>
    </row>
    <row r="26" spans="2:15" ht="16">
      <c r="B26" s="31" t="s">
        <v>449</v>
      </c>
      <c r="C26" s="32">
        <v>0.5</v>
      </c>
    </row>
    <row r="27" spans="2:15" ht="16">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9</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8</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https://www.comunidad.madrid/hospital/atencionprimaria/home</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N/A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Pasa</v>
      </c>
      <c r="AX3" s="111" t="str">
        <f ca="1">RESULTADOS!AB20</f>
        <v>Pasa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N/A</v>
      </c>
      <c r="BH3" s="111" t="str">
        <f ca="1">RESULTADOS!AL20</f>
        <v>Pasa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N/A</v>
      </c>
      <c r="BP3" s="111" t="str">
        <f ca="1">RESULTADOS!AT20</f>
        <v>Pasa</v>
      </c>
      <c r="BQ3" s="111" t="str">
        <f ca="1">RESULTADOS!AU20</f>
        <v>N/A</v>
      </c>
      <c r="BR3" s="111" t="str">
        <f ca="1">RESULTADOS!AV20</f>
        <v>Pasa</v>
      </c>
      <c r="BS3" s="111" t="str">
        <f ca="1">RESULTADOS!AW20</f>
        <v>Falla</v>
      </c>
      <c r="BT3" s="111" t="str">
        <f ca="1">RESULTADOS!AX20</f>
        <v>N/A</v>
      </c>
      <c r="BU3" s="111" t="str">
        <f ca="1">RESULTADOS!AY20</f>
        <v>Falla</v>
      </c>
      <c r="BV3" s="111" t="str">
        <f ca="1">RESULTADOS!AZ20</f>
        <v>Falla</v>
      </c>
      <c r="BW3" s="111" t="str">
        <f ca="1">RESULTADOS!BA20</f>
        <v>Pasa</v>
      </c>
      <c r="BX3" s="111" t="str">
        <f ca="1">RESULTADOS!BB20</f>
        <v>N/A</v>
      </c>
      <c r="BY3" s="111" t="str">
        <f ca="1">RESULTADOS!BC20</f>
        <v>Falla</v>
      </c>
      <c r="BZ3" s="111" t="str">
        <f ca="1">RESULTADOS!BD20</f>
        <v>Pasa</v>
      </c>
      <c r="CA3" s="111" t="str">
        <f ca="1">RESULTADOS!BE20</f>
        <v>N/A</v>
      </c>
      <c r="CB3" s="111" t="str">
        <f ca="1">RESULTADOS!BF20</f>
        <v>N/A</v>
      </c>
      <c r="CC3" s="111" t="str">
        <f ca="1">RESULTADOS!BG20</f>
        <v>Falla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Pasa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N/A</v>
      </c>
      <c r="CW3" s="111" t="str">
        <f ca="1">RESULTADOS!CA20</f>
        <v>Pasa</v>
      </c>
      <c r="CX3" s="111" t="str">
        <f ca="1">RESULTADOS!CB20</f>
        <v>N/A</v>
      </c>
      <c r="CY3" s="111" t="str">
        <f ca="1">RESULTADOS!CC20</f>
        <v>N/A</v>
      </c>
      <c r="CZ3" s="111" t="str">
        <f ca="1">RESULTADOS!CD20</f>
        <v>Pasa</v>
      </c>
      <c r="DA3" s="111" t="str">
        <f ca="1">RESULTADOS!CE20</f>
        <v>Pasa</v>
      </c>
      <c r="DB3" s="111" t="str">
        <f ca="1">RESULTADOS!CF20</f>
        <v>Pasa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Pasa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Ciudadanos</v>
      </c>
      <c r="V4" s="113" t="str">
        <f t="shared" ref="V4:V37" si="0">IF(T4&lt;&gt;"","Página web","")</f>
        <v>Página web</v>
      </c>
      <c r="W4" s="113" t="str">
        <v>Pagina tipo</v>
      </c>
      <c r="X4" s="113" t="str">
        <f>RESULTADOS!D21</f>
        <v>https://www.comunidad.madrid/hospital/atencionprimaria/ciudadanos</v>
      </c>
      <c r="Y4" s="113" t="str">
        <v>Home - Ciudadanos</v>
      </c>
      <c r="Z4" s="188">
        <v>0</v>
      </c>
      <c r="AA4" s="111" t="str">
        <f ca="1">RESULTADOS!E21</f>
        <v>N/A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Pasa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N/A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Pasa</v>
      </c>
      <c r="BQ4" s="111" t="str">
        <f ca="1">RESULTADOS!AU21</f>
        <v>N/A</v>
      </c>
      <c r="BR4" s="111" t="str">
        <f ca="1">RESULTADOS!AV21</f>
        <v>Pasa</v>
      </c>
      <c r="BS4" s="111" t="str">
        <f ca="1">RESULTADOS!AW21</f>
        <v>Falla</v>
      </c>
      <c r="BT4" s="111" t="str">
        <f ca="1">RESULTADOS!AX21</f>
        <v>N/A</v>
      </c>
      <c r="BU4" s="111" t="str">
        <f ca="1">RESULTADOS!AY21</f>
        <v>Falla</v>
      </c>
      <c r="BV4" s="111" t="str">
        <f ca="1">RESULTADOS!AZ21</f>
        <v>Falla</v>
      </c>
      <c r="BW4" s="111" t="str">
        <f ca="1">RESULTADOS!BA21</f>
        <v>Pasa</v>
      </c>
      <c r="BX4" s="111" t="str">
        <f ca="1">RESULTADOS!BB21</f>
        <v>N/A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Pasa</v>
      </c>
      <c r="CO4" s="111" t="str">
        <f ca="1">RESULTADOS!BS21</f>
        <v>N/A</v>
      </c>
      <c r="CP4" s="111" t="str">
        <f ca="1">RESULTADOS!BT21</f>
        <v>Pasa</v>
      </c>
      <c r="CQ4" s="111" t="str">
        <f ca="1">RESULTADOS!BU21</f>
        <v>N/A</v>
      </c>
      <c r="CR4" s="111" t="str">
        <f ca="1">RESULTADOS!BV21</f>
        <v>Pasa</v>
      </c>
      <c r="CS4" s="111" t="str">
        <f ca="1">RESULTADOS!BW21</f>
        <v>Pasa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Pasa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Pasa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Profesionales</v>
      </c>
      <c r="V5" s="113" t="str">
        <f t="shared" si="0"/>
        <v>Página web</v>
      </c>
      <c r="W5" s="113" t="str">
        <v>Pagina tipo</v>
      </c>
      <c r="X5" s="113" t="str">
        <f>RESULTADOS!D22</f>
        <v>https://www.comunidad.madrid/hospital/atencionprimaria/profesionales</v>
      </c>
      <c r="Y5" s="113" t="str">
        <v>Home - Profesionales</v>
      </c>
      <c r="Z5" s="188">
        <v>0</v>
      </c>
      <c r="AA5" s="111" t="str">
        <f ca="1">RESULTADOS!E22</f>
        <v>N/A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Pasa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N/A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N/A</v>
      </c>
      <c r="BP5" s="111" t="str">
        <f ca="1">RESULTADOS!AT22</f>
        <v>Pasa</v>
      </c>
      <c r="BQ5" s="111" t="str">
        <f ca="1">RESULTADOS!AU22</f>
        <v>N/A</v>
      </c>
      <c r="BR5" s="111" t="str">
        <f ca="1">RESULTADOS!AV22</f>
        <v>Pasa</v>
      </c>
      <c r="BS5" s="111" t="str">
        <f ca="1">RESULTADOS!AW22</f>
        <v>Falla</v>
      </c>
      <c r="BT5" s="111" t="str">
        <f ca="1">RESULTADOS!AX22</f>
        <v>N/A</v>
      </c>
      <c r="BU5" s="111" t="str">
        <f ca="1">RESULTADOS!AY22</f>
        <v>Falla</v>
      </c>
      <c r="BV5" s="111" t="str">
        <f ca="1">RESULTADOS!AZ22</f>
        <v>Falla</v>
      </c>
      <c r="BW5" s="111" t="str">
        <f ca="1">RESULTADOS!BA22</f>
        <v>Pasa</v>
      </c>
      <c r="BX5" s="111" t="str">
        <f ca="1">RESULTADOS!BB22</f>
        <v>N/A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Pasa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N/A</v>
      </c>
      <c r="CW5" s="111" t="str">
        <f ca="1">RESULTADOS!CA22</f>
        <v>Pasa</v>
      </c>
      <c r="CX5" s="111" t="str">
        <f ca="1">RESULTADOS!CB22</f>
        <v>N/A</v>
      </c>
      <c r="CY5" s="111" t="str">
        <f ca="1">RESULTADOS!CC22</f>
        <v>N/A</v>
      </c>
      <c r="CZ5" s="111" t="str">
        <f ca="1">RESULTADOS!CD22</f>
        <v>Pasa</v>
      </c>
      <c r="DA5" s="111" t="str">
        <f ca="1">RESULTADOS!CE22</f>
        <v>Pasa</v>
      </c>
      <c r="DB5" s="111" t="str">
        <f ca="1">RESULTADOS!CF22</f>
        <v>Pasa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Pasa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Comunicación</v>
      </c>
      <c r="V6" s="113" t="str">
        <f t="shared" si="0"/>
        <v>Página web</v>
      </c>
      <c r="W6" s="113" t="str">
        <v>Pagina tipo</v>
      </c>
      <c r="X6" s="113" t="str">
        <f>RESULTADOS!D23</f>
        <v>https://www.comunidad.madrid/hospital/atencionprimaria/comunicación</v>
      </c>
      <c r="Y6" s="113" t="str">
        <v>Home - Comunicación</v>
      </c>
      <c r="Z6" s="188" t="str">
        <v xml:space="preserve"> </v>
      </c>
      <c r="AA6" s="111" t="str">
        <f ca="1">RESULTADOS!E23</f>
        <v>N/A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Pasa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N/A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Pasa</v>
      </c>
      <c r="BQ6" s="111" t="str">
        <f ca="1">RESULTADOS!AU23</f>
        <v>N/A</v>
      </c>
      <c r="BR6" s="111" t="str">
        <f ca="1">RESULTADOS!AV23</f>
        <v>Pasa</v>
      </c>
      <c r="BS6" s="111" t="str">
        <f ca="1">RESULTADOS!AW23</f>
        <v>Falla</v>
      </c>
      <c r="BT6" s="111" t="str">
        <f ca="1">RESULTADOS!AX23</f>
        <v>N/A</v>
      </c>
      <c r="BU6" s="111" t="str">
        <f ca="1">RESULTADOS!AY23</f>
        <v>Falla</v>
      </c>
      <c r="BV6" s="111" t="str">
        <f ca="1">RESULTADOS!AZ23</f>
        <v>Falla</v>
      </c>
      <c r="BW6" s="111" t="str">
        <f ca="1">RESULTADOS!BA23</f>
        <v>Pasa</v>
      </c>
      <c r="BX6" s="111" t="str">
        <f ca="1">RESULTADOS!BB23</f>
        <v>N/A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Pasa</v>
      </c>
      <c r="CO6" s="111" t="str">
        <f ca="1">RESULTADOS!BS23</f>
        <v>N/A</v>
      </c>
      <c r="CP6" s="111" t="str">
        <f ca="1">RESULTADOS!BT23</f>
        <v>Pasa</v>
      </c>
      <c r="CQ6" s="111" t="str">
        <f ca="1">RESULTADOS!BU23</f>
        <v>N/A</v>
      </c>
      <c r="CR6" s="111" t="str">
        <f ca="1">RESULTADOS!BV23</f>
        <v>Pasa</v>
      </c>
      <c r="CS6" s="111" t="str">
        <f ca="1">RESULTADOS!BW23</f>
        <v>Pasa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Pasa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Pasa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Nosotros</v>
      </c>
      <c r="V7" s="113" t="str">
        <f t="shared" si="0"/>
        <v>Página web</v>
      </c>
      <c r="W7" s="113" t="str">
        <v>Pagina tipo</v>
      </c>
      <c r="X7" s="113" t="str">
        <f>RESULTADOS!D24</f>
        <v>https://www.comunidad.madrid/hospital/atencionprimaria/nosotros</v>
      </c>
      <c r="Y7" s="113" t="str">
        <v>Home - Nosotros</v>
      </c>
      <c r="Z7" s="188">
        <v>0</v>
      </c>
      <c r="AA7" s="111" t="str">
        <f ca="1">RESULTADOS!E24</f>
        <v>N/A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Pasa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N/A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Pasa</v>
      </c>
      <c r="BQ7" s="111" t="str">
        <f ca="1">RESULTADOS!AU24</f>
        <v>N/A</v>
      </c>
      <c r="BR7" s="111" t="str">
        <f ca="1">RESULTADOS!AV24</f>
        <v>Pasa</v>
      </c>
      <c r="BS7" s="111" t="str">
        <f ca="1">RESULTADOS!AW24</f>
        <v>Falla</v>
      </c>
      <c r="BT7" s="111" t="str">
        <f ca="1">RESULTADOS!AX24</f>
        <v>N/A</v>
      </c>
      <c r="BU7" s="111" t="str">
        <f ca="1">RESULTADOS!AY24</f>
        <v>Falla</v>
      </c>
      <c r="BV7" s="111" t="str">
        <f ca="1">RESULTADOS!AZ24</f>
        <v>Falla</v>
      </c>
      <c r="BW7" s="111" t="str">
        <f ca="1">RESULTADOS!BA24</f>
        <v>Pasa</v>
      </c>
      <c r="BX7" s="111" t="str">
        <f ca="1">RESULTADOS!BB24</f>
        <v>N/A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Pasa</v>
      </c>
      <c r="CO7" s="111" t="str">
        <f ca="1">RESULTADOS!BS24</f>
        <v>N/A</v>
      </c>
      <c r="CP7" s="111" t="str">
        <f ca="1">RESULTADOS!BT24</f>
        <v>Pasa</v>
      </c>
      <c r="CQ7" s="111" t="str">
        <f ca="1">RESULTADOS!BU24</f>
        <v>N/A</v>
      </c>
      <c r="CR7" s="111" t="str">
        <f ca="1">RESULTADOS!BV24</f>
        <v>Pasa</v>
      </c>
      <c r="CS7" s="111" t="str">
        <f ca="1">RESULTADOS!BW24</f>
        <v>Pasa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Pasa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Pasa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Videoteca</v>
      </c>
      <c r="V8" s="113" t="str">
        <f t="shared" si="0"/>
        <v>Página web</v>
      </c>
      <c r="W8" s="113" t="str">
        <v>Aleatoria</v>
      </c>
      <c r="X8" s="113" t="str">
        <f>RESULTADOS!D25</f>
        <v>https://www.comunidad.madrid/hospital/atencionprimaria/videoteca</v>
      </c>
      <c r="Y8" s="113" t="str">
        <v>Home - Comunicación - Videoteca</v>
      </c>
      <c r="Z8" s="188">
        <v>0</v>
      </c>
      <c r="AA8" s="111" t="str">
        <f ca="1">RESULTADOS!E25</f>
        <v>N/A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Pasa</v>
      </c>
      <c r="AX8" s="111" t="str">
        <f ca="1">RESULTADOS!AB25</f>
        <v>Pasa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N/A</v>
      </c>
      <c r="BH8" s="111" t="str">
        <f ca="1">RESULTADOS!AL25</f>
        <v>Pasa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Pasa</v>
      </c>
      <c r="BQ8" s="111" t="str">
        <f ca="1">RESULTADOS!AU25</f>
        <v>N/A</v>
      </c>
      <c r="BR8" s="111" t="str">
        <f ca="1">RESULTADOS!AV25</f>
        <v>Pasa</v>
      </c>
      <c r="BS8" s="111" t="str">
        <f ca="1">RESULTADOS!AW25</f>
        <v>Falla</v>
      </c>
      <c r="BT8" s="111" t="str">
        <f ca="1">RESULTADOS!AX25</f>
        <v>N/A</v>
      </c>
      <c r="BU8" s="111" t="str">
        <f ca="1">RESULTADOS!AY25</f>
        <v>Falla</v>
      </c>
      <c r="BV8" s="111" t="str">
        <f ca="1">RESULTADOS!AZ25</f>
        <v>Falla</v>
      </c>
      <c r="BW8" s="111" t="str">
        <f ca="1">RESULTADOS!BA25</f>
        <v>Pasa</v>
      </c>
      <c r="BX8" s="111" t="str">
        <f ca="1">RESULTADOS!BB25</f>
        <v>N/A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Pasa</v>
      </c>
      <c r="CO8" s="111" t="str">
        <f ca="1">RESULTADOS!BS25</f>
        <v>N/A</v>
      </c>
      <c r="CP8" s="111" t="str">
        <f ca="1">RESULTADOS!BT25</f>
        <v>Pasa</v>
      </c>
      <c r="CQ8" s="111" t="str">
        <f ca="1">RESULTADOS!BU25</f>
        <v>N/A</v>
      </c>
      <c r="CR8" s="111" t="str">
        <f ca="1">RESULTADOS!BV25</f>
        <v>Pasa</v>
      </c>
      <c r="CS8" s="111" t="str">
        <f ca="1">RESULTADOS!BW25</f>
        <v>Pasa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Pasa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Pasa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Accesibilidad</v>
      </c>
      <c r="V9" s="113" t="str">
        <f t="shared" si="0"/>
        <v>Página web</v>
      </c>
      <c r="W9" s="113" t="str">
        <v>Declaración accesibilidad</v>
      </c>
      <c r="X9" s="113" t="str">
        <f>RESULTADOS!D26</f>
        <v>https://www.comunidad.madrid/hospital/atencionprimaria/declaracion-accesibilidad</v>
      </c>
      <c r="Y9" s="113" t="str">
        <v>Footer - Accesibilidad</v>
      </c>
      <c r="Z9" s="188">
        <v>0</v>
      </c>
      <c r="AA9" s="111" t="str">
        <f ca="1">RESULTADOS!E26</f>
        <v>N/A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Pasa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N/A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N/A</v>
      </c>
      <c r="BP9" s="111" t="str">
        <f ca="1">RESULTADOS!AT26</f>
        <v>Pasa</v>
      </c>
      <c r="BQ9" s="111" t="str">
        <f ca="1">RESULTADOS!AU26</f>
        <v>N/A</v>
      </c>
      <c r="BR9" s="111" t="str">
        <f ca="1">RESULTADOS!AV26</f>
        <v>Pasa</v>
      </c>
      <c r="BS9" s="111" t="str">
        <f ca="1">RESULTADOS!AW26</f>
        <v>Falla</v>
      </c>
      <c r="BT9" s="111" t="str">
        <f ca="1">RESULTADOS!AX26</f>
        <v>N/A</v>
      </c>
      <c r="BU9" s="111" t="str">
        <f ca="1">RESULTADOS!AY26</f>
        <v>Falla</v>
      </c>
      <c r="BV9" s="111" t="str">
        <f ca="1">RESULTADOS!AZ26</f>
        <v>Pasa</v>
      </c>
      <c r="BW9" s="111" t="str">
        <f ca="1">RESULTADOS!BA26</f>
        <v>Pasa</v>
      </c>
      <c r="BX9" s="111" t="str">
        <f ca="1">RESULTADOS!BB26</f>
        <v>N/A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Pasa</v>
      </c>
      <c r="CO9" s="111" t="str">
        <f ca="1">RESULTADOS!BS26</f>
        <v>N/A</v>
      </c>
      <c r="CP9" s="111" t="str">
        <f ca="1">RESULTADOS!BT26</f>
        <v>Pasa</v>
      </c>
      <c r="CQ9" s="111" t="str">
        <f ca="1">RESULTADOS!BU26</f>
        <v>N/A</v>
      </c>
      <c r="CR9" s="111" t="str">
        <f ca="1">RESULTADOS!BV26</f>
        <v>Pasa</v>
      </c>
      <c r="CS9" s="111" t="str">
        <f ca="1">RESULTADOS!BW26</f>
        <v>Pasa</v>
      </c>
      <c r="CT9" s="111" t="str">
        <f ca="1">RESULTADOS!BX26</f>
        <v>Pasa</v>
      </c>
      <c r="CU9" s="111" t="str">
        <f ca="1">RESULTADOS!BY26</f>
        <v>Pasa</v>
      </c>
      <c r="CV9" s="111" t="str">
        <f ca="1">RESULTADOS!BZ26</f>
        <v>N/A</v>
      </c>
      <c r="CW9" s="111" t="str">
        <f ca="1">RESULTADOS!CA26</f>
        <v>Pasa</v>
      </c>
      <c r="CX9" s="111" t="str">
        <f ca="1">RESULTADOS!CB26</f>
        <v>N/A</v>
      </c>
      <c r="CY9" s="111" t="str">
        <f ca="1">RESULTADOS!CC26</f>
        <v>N/A</v>
      </c>
      <c r="CZ9" s="111" t="str">
        <f ca="1">RESULTADOS!CD26</f>
        <v>Pasa</v>
      </c>
      <c r="DA9" s="111" t="str">
        <f ca="1">RESULTADOS!CE26</f>
        <v>Pasa</v>
      </c>
      <c r="DB9" s="111" t="str">
        <f ca="1">RESULTADOS!CF26</f>
        <v>Pasa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Pasa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Atención Primaria</v>
      </c>
      <c r="E10" s="109" t="s">
        <v>63</v>
      </c>
      <c r="F10" s="112" t="str">
        <f>'02.Tecnologías'!F12</f>
        <v>No</v>
      </c>
      <c r="G10" s="112">
        <f>'02.Tecnologías'!K20</f>
        <v>0</v>
      </c>
      <c r="H10" s="112">
        <f>'02.Tecnologías'!L20</f>
        <v>0</v>
      </c>
      <c r="I10" s="162"/>
      <c r="J10" s="162"/>
      <c r="K10" s="109" t="s">
        <v>471</v>
      </c>
      <c r="L10" s="109"/>
      <c r="M10" s="109"/>
      <c r="T10" s="113">
        <f>RESULTADOS!B27</f>
        <v>8</v>
      </c>
      <c r="U10" s="113" t="str">
        <f>RESULTADOS!C27</f>
        <v>Aviso Legal - Privacidad</v>
      </c>
      <c r="V10" s="113" t="str">
        <f t="shared" si="0"/>
        <v>Página web</v>
      </c>
      <c r="W10" s="113" t="str">
        <v>Legal</v>
      </c>
      <c r="X10" s="113" t="str">
        <f>RESULTADOS!D27</f>
        <v>https://www.comunidad.madrid/hospital/atencionprimaria/aviso-legal-privacidad</v>
      </c>
      <c r="Y10" s="113" t="str">
        <v>Footer - Aviso Legal-Privacidad</v>
      </c>
      <c r="Z10" s="188">
        <v>0</v>
      </c>
      <c r="AA10" s="111" t="str">
        <f ca="1">RESULTADOS!E27</f>
        <v>N/A</v>
      </c>
      <c r="AB10" s="111" t="str">
        <f ca="1">RESULTADOS!F27</f>
        <v>N/A</v>
      </c>
      <c r="AC10" s="111" t="str">
        <f ca="1">RESULTADOS!G27</f>
        <v>N/A</v>
      </c>
      <c r="AD10" s="111" t="str">
        <f ca="1">RESULTADOS!H27</f>
        <v>N/A</v>
      </c>
      <c r="AE10" s="111" t="str">
        <f ca="1">RESULTADOS!I27</f>
        <v>N/A</v>
      </c>
      <c r="AF10" s="111" t="str">
        <f ca="1">RESULTADOS!J27</f>
        <v>N/A</v>
      </c>
      <c r="AG10" s="111" t="str">
        <f ca="1">RESULTADOS!K27</f>
        <v>N/A</v>
      </c>
      <c r="AH10" s="111" t="str">
        <f ca="1">RESULTADOS!L27</f>
        <v>N/A</v>
      </c>
      <c r="AI10" s="111" t="str">
        <f ca="1">RESULTADOS!M27</f>
        <v>N/A</v>
      </c>
      <c r="AJ10" s="111" t="str">
        <f ca="1">RESULTADOS!N27</f>
        <v>N/A</v>
      </c>
      <c r="AK10" s="111" t="str">
        <f ca="1">RESULTADOS!O27</f>
        <v>N/A</v>
      </c>
      <c r="AL10" s="111" t="str">
        <f ca="1">RESULTADOS!P27</f>
        <v>N/A</v>
      </c>
      <c r="AM10" s="111" t="str">
        <f ca="1">RESULTADOS!Q27</f>
        <v>N/A</v>
      </c>
      <c r="AN10" s="111" t="str">
        <f ca="1">RESULTADOS!R27</f>
        <v>N/A</v>
      </c>
      <c r="AO10" s="111" t="str">
        <f ca="1">RESULTADOS!S27</f>
        <v>N/A</v>
      </c>
      <c r="AP10" s="111" t="str">
        <f ca="1">RESULTADOS!T27</f>
        <v>N/A</v>
      </c>
      <c r="AQ10" s="111" t="str">
        <f ca="1">RESULTADOS!U27</f>
        <v>N/A</v>
      </c>
      <c r="AR10" s="111" t="str">
        <f ca="1">RESULTADOS!V27</f>
        <v>N/A</v>
      </c>
      <c r="AS10" s="111" t="str">
        <f ca="1">RESULTADOS!W27</f>
        <v>N/A</v>
      </c>
      <c r="AT10" s="111" t="str">
        <f ca="1">RESULTADOS!X27</f>
        <v>N/A</v>
      </c>
      <c r="AU10" s="111" t="str">
        <f ca="1">RESULTADOS!Y27</f>
        <v>N/A</v>
      </c>
      <c r="AV10" s="111" t="str">
        <f ca="1">RESULTADOS!Z27</f>
        <v>N/A</v>
      </c>
      <c r="AW10" s="111" t="str">
        <f ca="1">RESULTADOS!AA27</f>
        <v>N/A</v>
      </c>
      <c r="AX10" s="111" t="str">
        <f ca="1">RESULTADOS!AB27</f>
        <v>Pasa</v>
      </c>
      <c r="AY10" s="111" t="str">
        <f ca="1">RESULTADOS!AC27</f>
        <v>N/A</v>
      </c>
      <c r="AZ10" s="111" t="str">
        <f ca="1">RESULTADOS!AD27</f>
        <v>N/A</v>
      </c>
      <c r="BA10" s="111" t="str">
        <f ca="1">RESULTADOS!AE27</f>
        <v>N/A</v>
      </c>
      <c r="BB10" s="111" t="str">
        <f ca="1">RESULTADOS!AF27</f>
        <v>N/A</v>
      </c>
      <c r="BC10" s="111" t="str">
        <f ca="1">RESULTADOS!AG27</f>
        <v>N/A</v>
      </c>
      <c r="BD10" s="111" t="str">
        <f ca="1">RESULTADOS!AH27</f>
        <v>N/A</v>
      </c>
      <c r="BE10" s="111" t="str">
        <f ca="1">RESULTADOS!AI27</f>
        <v>N/A</v>
      </c>
      <c r="BF10" s="111" t="str">
        <f ca="1">RESULTADOS!AJ27</f>
        <v>Pasa</v>
      </c>
      <c r="BG10" s="111" t="str">
        <f ca="1">RESULTADOS!AK27</f>
        <v>N/A</v>
      </c>
      <c r="BH10" s="111" t="str">
        <f ca="1">RESULTADOS!AL27</f>
        <v>N/A</v>
      </c>
      <c r="BI10" s="111" t="str">
        <f ca="1">RESULTADOS!AM27</f>
        <v>N/A</v>
      </c>
      <c r="BJ10" s="111" t="str">
        <f ca="1">RESULTADOS!AN27</f>
        <v>N/A</v>
      </c>
      <c r="BK10" s="111" t="str">
        <f ca="1">RESULTADOS!AO27</f>
        <v>Falla</v>
      </c>
      <c r="BL10" s="111" t="str">
        <f ca="1">RESULTADOS!AP27</f>
        <v>Falla</v>
      </c>
      <c r="BM10" s="111" t="str">
        <f ca="1">RESULTADOS!AQ27</f>
        <v>Falla</v>
      </c>
      <c r="BN10" s="111" t="str">
        <f ca="1">RESULTADOS!AR27</f>
        <v>Pasa</v>
      </c>
      <c r="BO10" s="111" t="str">
        <f ca="1">RESULTADOS!AS27</f>
        <v>N/A</v>
      </c>
      <c r="BP10" s="111" t="str">
        <f ca="1">RESULTADOS!AT27</f>
        <v>Pasa</v>
      </c>
      <c r="BQ10" s="111" t="str">
        <f ca="1">RESULTADOS!AU27</f>
        <v>N/A</v>
      </c>
      <c r="BR10" s="111" t="str">
        <f ca="1">RESULTADOS!AV27</f>
        <v>Pasa</v>
      </c>
      <c r="BS10" s="111" t="str">
        <f ca="1">RESULTADOS!AW27</f>
        <v>Falla</v>
      </c>
      <c r="BT10" s="111" t="str">
        <f ca="1">RESULTADOS!AX27</f>
        <v>N/A</v>
      </c>
      <c r="BU10" s="111" t="str">
        <f ca="1">RESULTADOS!AY27</f>
        <v>Falla</v>
      </c>
      <c r="BV10" s="111" t="str">
        <f ca="1">RESULTADOS!AZ27</f>
        <v>Pasa</v>
      </c>
      <c r="BW10" s="111" t="str">
        <f ca="1">RESULTADOS!BA27</f>
        <v>Pasa</v>
      </c>
      <c r="BX10" s="111" t="str">
        <f ca="1">RESULTADOS!BB27</f>
        <v>N/A</v>
      </c>
      <c r="BY10" s="111" t="str">
        <f ca="1">RESULTADOS!BC27</f>
        <v>Falla</v>
      </c>
      <c r="BZ10" s="111" t="str">
        <f ca="1">RESULTADOS!BD27</f>
        <v>Pasa</v>
      </c>
      <c r="CA10" s="111" t="str">
        <f ca="1">RESULTADOS!BE27</f>
        <v>N/A</v>
      </c>
      <c r="CB10" s="111" t="str">
        <f ca="1">RESULTADOS!BF27</f>
        <v>N/A</v>
      </c>
      <c r="CC10" s="111" t="str">
        <f ca="1">RESULTADOS!BG27</f>
        <v>N/A</v>
      </c>
      <c r="CD10" s="111" t="str">
        <f ca="1">RESULTADOS!BH27</f>
        <v>N/A</v>
      </c>
      <c r="CE10" s="111" t="str">
        <f ca="1">RESULTADOS!BI27</f>
        <v>Pasa</v>
      </c>
      <c r="CF10" s="111" t="str">
        <f ca="1">RESULTADOS!BJ27</f>
        <v>Pasa</v>
      </c>
      <c r="CG10" s="111" t="str">
        <f ca="1">RESULTADOS!BK27</f>
        <v>Falla</v>
      </c>
      <c r="CH10" s="111" t="str">
        <f ca="1">RESULTADOS!BL27</f>
        <v>Pasa</v>
      </c>
      <c r="CI10" s="111" t="str">
        <f ca="1">RESULTADOS!BM27</f>
        <v>Pasa</v>
      </c>
      <c r="CJ10" s="111" t="str">
        <f ca="1">RESULTADOS!BN27</f>
        <v>Pasa</v>
      </c>
      <c r="CK10" s="111" t="str">
        <f ca="1">RESULTADOS!BO27</f>
        <v>Falla</v>
      </c>
      <c r="CL10" s="111" t="str">
        <f ca="1">RESULTADOS!BP27</f>
        <v>N/A</v>
      </c>
      <c r="CM10" s="111" t="str">
        <f ca="1">RESULTADOS!BQ27</f>
        <v>Pasa</v>
      </c>
      <c r="CN10" s="111" t="str">
        <f ca="1">RESULTADOS!BR27</f>
        <v>Pasa</v>
      </c>
      <c r="CO10" s="111" t="str">
        <f ca="1">RESULTADOS!BS27</f>
        <v>N/A</v>
      </c>
      <c r="CP10" s="111" t="str">
        <f ca="1">RESULTADOS!BT27</f>
        <v>Pasa</v>
      </c>
      <c r="CQ10" s="111" t="str">
        <f ca="1">RESULTADOS!BU27</f>
        <v>N/A</v>
      </c>
      <c r="CR10" s="111" t="str">
        <f ca="1">RESULTADOS!BV27</f>
        <v>Pasa</v>
      </c>
      <c r="CS10" s="111" t="str">
        <f ca="1">RESULTADOS!BW27</f>
        <v>Pasa</v>
      </c>
      <c r="CT10" s="111" t="str">
        <f ca="1">RESULTADOS!BX27</f>
        <v>Pasa</v>
      </c>
      <c r="CU10" s="111" t="str">
        <f ca="1">RESULTADOS!BY27</f>
        <v>Pasa</v>
      </c>
      <c r="CV10" s="111" t="str">
        <f ca="1">RESULTADOS!BZ27</f>
        <v>N/A</v>
      </c>
      <c r="CW10" s="111" t="str">
        <f ca="1">RESULTADOS!CA27</f>
        <v>Pasa</v>
      </c>
      <c r="CX10" s="111" t="str">
        <f ca="1">RESULTADOS!CB27</f>
        <v>N/A</v>
      </c>
      <c r="CY10" s="111" t="str">
        <f ca="1">RESULTADOS!CC27</f>
        <v>N/A</v>
      </c>
      <c r="CZ10" s="111" t="str">
        <f ca="1">RESULTADOS!CD27</f>
        <v>Pasa</v>
      </c>
      <c r="DA10" s="111" t="str">
        <f ca="1">RESULTADOS!CE27</f>
        <v>Pasa</v>
      </c>
      <c r="DB10" s="111" t="str">
        <f ca="1">RESULTADOS!CF27</f>
        <v>Pasa</v>
      </c>
      <c r="DC10" s="111" t="str">
        <f ca="1">RESULTADOS!CG27</f>
        <v>Falla</v>
      </c>
      <c r="DD10" s="111" t="str">
        <f ca="1">RESULTADOS!CH27</f>
        <v>N/A</v>
      </c>
      <c r="DE10" s="111" t="str">
        <f ca="1">RESULTADOS!CI27</f>
        <v>N/A</v>
      </c>
      <c r="DF10" s="111" t="str">
        <f ca="1">RESULTADOS!CJ27</f>
        <v>N/A</v>
      </c>
      <c r="DG10" s="111" t="str">
        <f ca="1">RESULTADOS!CK27</f>
        <v>N/A</v>
      </c>
      <c r="DH10" s="111" t="str">
        <f ca="1">RESULTADOS!CL27</f>
        <v>N/A</v>
      </c>
      <c r="DI10" s="111" t="str">
        <f ca="1">RESULTADOS!CM27</f>
        <v>N/A</v>
      </c>
      <c r="DJ10" s="111" t="str">
        <f ca="1">RESULTADOS!CN27</f>
        <v>Pasa</v>
      </c>
      <c r="DK10" s="111" t="str">
        <f ca="1">RESULTADOS!CO27</f>
        <v>Falla</v>
      </c>
      <c r="DL10" s="111" t="str">
        <f ca="1">RESULTADOS!CP27</f>
        <v>Pasa</v>
      </c>
      <c r="DM10" s="111" t="str">
        <f ca="1">RESULTADOS!CQ27</f>
        <v>Pasa</v>
      </c>
      <c r="DN10" s="111" t="str">
        <f ca="1">RESULTADOS!CR27</f>
        <v>N/A</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https://www.comunidad.madrid/hospital/atencionprimaria	</v>
      </c>
      <c r="E11" s="109" t="s">
        <v>68</v>
      </c>
      <c r="F11" s="112" t="str">
        <f>'02.Tecnologías'!F13</f>
        <v>No</v>
      </c>
      <c r="G11" s="112">
        <f>'02.Tecnologías'!K21</f>
        <v>0</v>
      </c>
      <c r="H11" s="112">
        <f>'02.Tecnologías'!L21</f>
        <v>0</v>
      </c>
      <c r="I11" s="162"/>
      <c r="J11" s="162"/>
      <c r="K11" s="109" t="s">
        <v>252</v>
      </c>
      <c r="L11" s="109"/>
      <c r="M11" s="109"/>
      <c r="N11" s="109"/>
      <c r="O11" s="109"/>
      <c r="P11" s="109"/>
      <c r="T11" s="113">
        <f>RESULTADOS!B28</f>
        <v>9</v>
      </c>
      <c r="U11" s="113" t="str">
        <f>RESULTADOS!C28</f>
        <v>Mapa Web</v>
      </c>
      <c r="V11" s="113" t="str">
        <f t="shared" si="0"/>
        <v>Página web</v>
      </c>
      <c r="W11" s="113" t="str">
        <v>Mapa web</v>
      </c>
      <c r="X11" s="113" t="str">
        <f>RESULTADOS!D28</f>
        <v>https://www.comunidad.madrid/hospital/atencionprimaria/sitemap</v>
      </c>
      <c r="Y11" s="113" t="str">
        <v>Footer - Mapa Web</v>
      </c>
      <c r="Z11" s="188">
        <v>0</v>
      </c>
      <c r="AA11" s="111" t="str">
        <f ca="1">RESULTADOS!E28</f>
        <v>N/A</v>
      </c>
      <c r="AB11" s="111" t="str">
        <f ca="1">RESULTADOS!F28</f>
        <v>N/A</v>
      </c>
      <c r="AC11" s="111" t="str">
        <f ca="1">RESULTADOS!G28</f>
        <v>N/A</v>
      </c>
      <c r="AD11" s="111" t="str">
        <f ca="1">RESULTADOS!H28</f>
        <v>N/A</v>
      </c>
      <c r="AE11" s="111" t="str">
        <f ca="1">RESULTADOS!I28</f>
        <v>N/A</v>
      </c>
      <c r="AF11" s="111" t="str">
        <f ca="1">RESULTADOS!J28</f>
        <v>N/A</v>
      </c>
      <c r="AG11" s="111" t="str">
        <f ca="1">RESULTADOS!K28</f>
        <v>N/A</v>
      </c>
      <c r="AH11" s="111" t="str">
        <f ca="1">RESULTADOS!L28</f>
        <v>N/A</v>
      </c>
      <c r="AI11" s="111" t="str">
        <f ca="1">RESULTADOS!M28</f>
        <v>N/A</v>
      </c>
      <c r="AJ11" s="111" t="str">
        <f ca="1">RESULTADOS!N28</f>
        <v>N/A</v>
      </c>
      <c r="AK11" s="111" t="str">
        <f ca="1">RESULTADOS!O28</f>
        <v>N/A</v>
      </c>
      <c r="AL11" s="111" t="str">
        <f ca="1">RESULTADOS!P28</f>
        <v>N/A</v>
      </c>
      <c r="AM11" s="111" t="str">
        <f ca="1">RESULTADOS!Q28</f>
        <v>N/A</v>
      </c>
      <c r="AN11" s="111" t="str">
        <f ca="1">RESULTADOS!R28</f>
        <v>N/A</v>
      </c>
      <c r="AO11" s="111" t="str">
        <f ca="1">RESULTADOS!S28</f>
        <v>N/A</v>
      </c>
      <c r="AP11" s="111" t="str">
        <f ca="1">RESULTADOS!T28</f>
        <v>N/A</v>
      </c>
      <c r="AQ11" s="111" t="str">
        <f ca="1">RESULTADOS!U28</f>
        <v>N/A</v>
      </c>
      <c r="AR11" s="111" t="str">
        <f ca="1">RESULTADOS!V28</f>
        <v>N/A</v>
      </c>
      <c r="AS11" s="111" t="str">
        <f ca="1">RESULTADOS!W28</f>
        <v>N/A</v>
      </c>
      <c r="AT11" s="111" t="str">
        <f ca="1">RESULTADOS!X28</f>
        <v>N/A</v>
      </c>
      <c r="AU11" s="111" t="str">
        <f ca="1">RESULTADOS!Y28</f>
        <v>N/A</v>
      </c>
      <c r="AV11" s="111" t="str">
        <f ca="1">RESULTADOS!Z28</f>
        <v>N/A</v>
      </c>
      <c r="AW11" s="111" t="str">
        <f ca="1">RESULTADOS!AA28</f>
        <v>N/A</v>
      </c>
      <c r="AX11" s="111" t="str">
        <f ca="1">RESULTADOS!AB28</f>
        <v>Pasa</v>
      </c>
      <c r="AY11" s="111" t="str">
        <f ca="1">RESULTADOS!AC28</f>
        <v>N/A</v>
      </c>
      <c r="AZ11" s="111" t="str">
        <f ca="1">RESULTADOS!AD28</f>
        <v>N/A</v>
      </c>
      <c r="BA11" s="111" t="str">
        <f ca="1">RESULTADOS!AE28</f>
        <v>N/A</v>
      </c>
      <c r="BB11" s="111" t="str">
        <f ca="1">RESULTADOS!AF28</f>
        <v>N/A</v>
      </c>
      <c r="BC11" s="111" t="str">
        <f ca="1">RESULTADOS!AG28</f>
        <v>N/A</v>
      </c>
      <c r="BD11" s="111" t="str">
        <f ca="1">RESULTADOS!AH28</f>
        <v>N/A</v>
      </c>
      <c r="BE11" s="111" t="str">
        <f ca="1">RESULTADOS!AI28</f>
        <v>N/A</v>
      </c>
      <c r="BF11" s="111" t="str">
        <f ca="1">RESULTADOS!AJ28</f>
        <v>Pasa</v>
      </c>
      <c r="BG11" s="111" t="str">
        <f ca="1">RESULTADOS!AK28</f>
        <v>N/A</v>
      </c>
      <c r="BH11" s="111" t="str">
        <f ca="1">RESULTADOS!AL28</f>
        <v>N/A</v>
      </c>
      <c r="BI11" s="111" t="str">
        <f ca="1">RESULTADOS!AM28</f>
        <v>N/A</v>
      </c>
      <c r="BJ11" s="111" t="str">
        <f ca="1">RESULTADOS!AN28</f>
        <v>N/A</v>
      </c>
      <c r="BK11" s="111" t="str">
        <f ca="1">RESULTADOS!AO28</f>
        <v>Pasa</v>
      </c>
      <c r="BL11" s="111" t="str">
        <f ca="1">RESULTADOS!AP28</f>
        <v>Falla</v>
      </c>
      <c r="BM11" s="111" t="str">
        <f ca="1">RESULTADOS!AQ28</f>
        <v>Falla</v>
      </c>
      <c r="BN11" s="111" t="str">
        <f ca="1">RESULTADOS!AR28</f>
        <v>Pasa</v>
      </c>
      <c r="BO11" s="111" t="str">
        <f ca="1">RESULTADOS!AS28</f>
        <v>N/A</v>
      </c>
      <c r="BP11" s="111" t="str">
        <f ca="1">RESULTADOS!AT28</f>
        <v>Pasa</v>
      </c>
      <c r="BQ11" s="111" t="str">
        <f ca="1">RESULTADOS!AU28</f>
        <v>N/A</v>
      </c>
      <c r="BR11" s="111" t="str">
        <f ca="1">RESULTADOS!AV28</f>
        <v>Pasa</v>
      </c>
      <c r="BS11" s="111" t="str">
        <f ca="1">RESULTADOS!AW28</f>
        <v>Falla</v>
      </c>
      <c r="BT11" s="111" t="str">
        <f ca="1">RESULTADOS!AX28</f>
        <v>N/A</v>
      </c>
      <c r="BU11" s="111" t="str">
        <f ca="1">RESULTADOS!AY28</f>
        <v>Falla</v>
      </c>
      <c r="BV11" s="111" t="str">
        <f ca="1">RESULTADOS!AZ28</f>
        <v>Pasa</v>
      </c>
      <c r="BW11" s="111" t="str">
        <f ca="1">RESULTADOS!BA28</f>
        <v>Pasa</v>
      </c>
      <c r="BX11" s="111" t="str">
        <f ca="1">RESULTADOS!BB28</f>
        <v>N/A</v>
      </c>
      <c r="BY11" s="111" t="str">
        <f ca="1">RESULTADOS!BC28</f>
        <v>Falla</v>
      </c>
      <c r="BZ11" s="111" t="str">
        <f ca="1">RESULTADOS!BD28</f>
        <v>Pasa</v>
      </c>
      <c r="CA11" s="111" t="str">
        <f ca="1">RESULTADOS!BE28</f>
        <v>N/A</v>
      </c>
      <c r="CB11" s="111" t="str">
        <f ca="1">RESULTADOS!BF28</f>
        <v>N/A</v>
      </c>
      <c r="CC11" s="111" t="str">
        <f ca="1">RESULTADOS!BG28</f>
        <v>N/A</v>
      </c>
      <c r="CD11" s="111" t="str">
        <f ca="1">RESULTADOS!BH28</f>
        <v>N/A</v>
      </c>
      <c r="CE11" s="111" t="str">
        <f ca="1">RESULTADOS!BI28</f>
        <v>Pasa</v>
      </c>
      <c r="CF11" s="111" t="str">
        <f ca="1">RESULTADOS!BJ28</f>
        <v>Pasa</v>
      </c>
      <c r="CG11" s="111" t="str">
        <f ca="1">RESULTADOS!BK28</f>
        <v>Falla</v>
      </c>
      <c r="CH11" s="111" t="str">
        <f ca="1">RESULTADOS!BL28</f>
        <v>Pasa</v>
      </c>
      <c r="CI11" s="111" t="str">
        <f ca="1">RESULTADOS!BM28</f>
        <v>Pasa</v>
      </c>
      <c r="CJ11" s="111" t="str">
        <f ca="1">RESULTADOS!BN28</f>
        <v>Pasa</v>
      </c>
      <c r="CK11" s="111" t="str">
        <f ca="1">RESULTADOS!BO28</f>
        <v>Falla</v>
      </c>
      <c r="CL11" s="111" t="str">
        <f ca="1">RESULTADOS!BP28</f>
        <v>N/A</v>
      </c>
      <c r="CM11" s="111" t="str">
        <f ca="1">RESULTADOS!BQ28</f>
        <v>Pasa</v>
      </c>
      <c r="CN11" s="111" t="str">
        <f ca="1">RESULTADOS!BR28</f>
        <v>Pasa</v>
      </c>
      <c r="CO11" s="111" t="str">
        <f ca="1">RESULTADOS!BS28</f>
        <v>N/A</v>
      </c>
      <c r="CP11" s="111" t="str">
        <f ca="1">RESULTADOS!BT28</f>
        <v>Pasa</v>
      </c>
      <c r="CQ11" s="111" t="str">
        <f ca="1">RESULTADOS!BU28</f>
        <v>N/A</v>
      </c>
      <c r="CR11" s="111" t="str">
        <f ca="1">RESULTADOS!BV28</f>
        <v>Pasa</v>
      </c>
      <c r="CS11" s="111" t="str">
        <f ca="1">RESULTADOS!BW28</f>
        <v>Pasa</v>
      </c>
      <c r="CT11" s="111" t="str">
        <f ca="1">RESULTADOS!BX28</f>
        <v>Pasa</v>
      </c>
      <c r="CU11" s="111" t="str">
        <f ca="1">RESULTADOS!BY28</f>
        <v>Pasa</v>
      </c>
      <c r="CV11" s="111" t="str">
        <f ca="1">RESULTADOS!BZ28</f>
        <v>N/A</v>
      </c>
      <c r="CW11" s="111" t="str">
        <f ca="1">RESULTADOS!CA28</f>
        <v>Pasa</v>
      </c>
      <c r="CX11" s="111" t="str">
        <f ca="1">RESULTADOS!CB28</f>
        <v>N/A</v>
      </c>
      <c r="CY11" s="111" t="str">
        <f ca="1">RESULTADOS!CC28</f>
        <v>N/A</v>
      </c>
      <c r="CZ11" s="111" t="str">
        <f ca="1">RESULTADOS!CD28</f>
        <v>Pasa</v>
      </c>
      <c r="DA11" s="111" t="str">
        <f ca="1">RESULTADOS!CE28</f>
        <v>Pasa</v>
      </c>
      <c r="DB11" s="111" t="str">
        <f ca="1">RESULTADOS!CF28</f>
        <v>Pasa</v>
      </c>
      <c r="DC11" s="111" t="str">
        <f ca="1">RESULTADOS!CG28</f>
        <v>Falla</v>
      </c>
      <c r="DD11" s="111" t="str">
        <f ca="1">RESULTADOS!CH28</f>
        <v>N/A</v>
      </c>
      <c r="DE11" s="111" t="str">
        <f ca="1">RESULTADOS!CI28</f>
        <v>N/A</v>
      </c>
      <c r="DF11" s="111" t="str">
        <f ca="1">RESULTADOS!CJ28</f>
        <v>N/A</v>
      </c>
      <c r="DG11" s="111" t="str">
        <f ca="1">RESULTADOS!CK28</f>
        <v>N/A</v>
      </c>
      <c r="DH11" s="111" t="str">
        <f ca="1">RESULTADOS!CL28</f>
        <v>N/A</v>
      </c>
      <c r="DI11" s="111" t="str">
        <f ca="1">RESULTADOS!CM28</f>
        <v>N/A</v>
      </c>
      <c r="DJ11" s="111" t="str">
        <f ca="1">RESULTADOS!CN28</f>
        <v>Pasa</v>
      </c>
      <c r="DK11" s="111" t="str">
        <f ca="1">RESULTADOS!CO28</f>
        <v>Falla</v>
      </c>
      <c r="DL11" s="111" t="str">
        <f ca="1">RESULTADOS!CP28</f>
        <v>Pasa</v>
      </c>
      <c r="DM11" s="111" t="str">
        <f ca="1">RESULTADOS!CQ28</f>
        <v>Pasa</v>
      </c>
      <c r="DN11" s="111" t="str">
        <f ca="1">RESULTADOS!CR28</f>
        <v>N/A</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Portal de Atención Primaria</v>
      </c>
      <c r="E13" s="109" t="s">
        <v>58</v>
      </c>
      <c r="F13" s="112" t="str">
        <f>'02.Tecnologías'!I10</f>
        <v>No</v>
      </c>
      <c r="G13" s="112">
        <f>'02.Tecnologías'!K23</f>
        <v>0</v>
      </c>
      <c r="H13" s="112">
        <f>'02.Tecnologías'!L23</f>
        <v>0</v>
      </c>
      <c r="I13" s="162"/>
      <c r="J13" s="162"/>
      <c r="K13" t="s">
        <v>474</v>
      </c>
      <c r="L13" s="164" t="str">
        <f ca="1">RESULTADOS!E8</f>
        <v>28 (30,43 %)</v>
      </c>
      <c r="M13" s="164" t="str">
        <f ca="1">RESULTADOS!F8</f>
        <v>12 (13,04 %)</v>
      </c>
      <c r="N13" s="164" t="str">
        <f ca="1">RESULTADOS!G8</f>
        <v>52 (56,52 %)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45497</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242</v>
      </c>
      <c r="M18" s="171">
        <f ca="1">RESULTADOS!M8</f>
        <v>0.2922705314009662</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96</v>
      </c>
      <c r="M19" s="171">
        <f ca="1">RESULTADOS!M9</f>
        <v>0.11594202898550725</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490</v>
      </c>
      <c r="M20" s="171">
        <f ca="1">RESULTADOS!M10</f>
        <v>0.59178743961352653</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No</v>
      </c>
      <c r="K21" t="s">
        <v>266</v>
      </c>
      <c r="L21" s="113">
        <f ca="1">RESULTADOS!L11</f>
        <v>828</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Sí</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7</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tabSelected="1" topLeftCell="A19" zoomScale="85" zoomScaleNormal="85" workbookViewId="0">
      <selection activeCell="C64" sqref="C64"/>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483</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485</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484</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45497</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481</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36</v>
      </c>
      <c r="G51" s="62"/>
    </row>
    <row r="52" spans="2:26" ht="14.75" customHeight="1">
      <c r="C52" s="27" t="s">
        <v>40</v>
      </c>
      <c r="D52" s="19" t="s">
        <v>36</v>
      </c>
      <c r="G52" s="62"/>
    </row>
    <row r="53" spans="2:26" ht="14.75" customHeight="1">
      <c r="C53" s="27" t="s">
        <v>41</v>
      </c>
      <c r="D53" s="19" t="s">
        <v>53</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480</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zoomScale="70" zoomScaleNormal="70" workbookViewId="0">
      <selection activeCell="F8" sqref="F8"/>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486</v>
      </c>
      <c r="D8" s="53" t="s">
        <v>488</v>
      </c>
      <c r="E8" s="53" t="s">
        <v>425</v>
      </c>
      <c r="F8" s="123" t="s">
        <v>487</v>
      </c>
      <c r="G8" s="53" t="s">
        <v>486</v>
      </c>
      <c r="H8" s="143" t="s">
        <v>78</v>
      </c>
      <c r="I8" s="18"/>
      <c r="J8" s="18"/>
      <c r="K8" s="18"/>
      <c r="L8" s="18"/>
      <c r="M8" s="18"/>
      <c r="N8" s="18"/>
      <c r="O8" s="18"/>
      <c r="P8" s="18"/>
      <c r="Q8" s="18"/>
      <c r="R8" s="18"/>
      <c r="S8" s="18"/>
      <c r="T8" s="18"/>
      <c r="U8" s="18"/>
      <c r="V8" s="18"/>
      <c r="W8" s="18"/>
      <c r="X8" s="18"/>
      <c r="Y8" s="18"/>
    </row>
    <row r="9" spans="1:64" ht="18.25" customHeight="1">
      <c r="B9" s="51">
        <v>2</v>
      </c>
      <c r="C9" s="52" t="s">
        <v>489</v>
      </c>
      <c r="D9" s="53" t="s">
        <v>488</v>
      </c>
      <c r="E9" s="53" t="s">
        <v>444</v>
      </c>
      <c r="F9" s="123" t="s">
        <v>490</v>
      </c>
      <c r="G9" s="53" t="s">
        <v>491</v>
      </c>
      <c r="H9" s="101"/>
      <c r="I9" s="18"/>
      <c r="J9" s="18"/>
      <c r="K9" s="18"/>
      <c r="L9" s="18"/>
      <c r="M9" s="18"/>
      <c r="N9" s="18"/>
      <c r="O9" s="18"/>
      <c r="P9" s="18"/>
      <c r="Q9" s="18"/>
      <c r="R9" s="18"/>
      <c r="S9" s="18"/>
      <c r="T9" s="18"/>
      <c r="U9" s="18"/>
      <c r="V9" s="18"/>
      <c r="W9" s="18"/>
      <c r="X9" s="18"/>
      <c r="Y9" s="18"/>
    </row>
    <row r="10" spans="1:64" ht="18.25" customHeight="1">
      <c r="B10" s="51">
        <v>3</v>
      </c>
      <c r="C10" s="52" t="s">
        <v>492</v>
      </c>
      <c r="D10" s="53" t="s">
        <v>488</v>
      </c>
      <c r="E10" s="53" t="s">
        <v>444</v>
      </c>
      <c r="F10" s="123" t="s">
        <v>493</v>
      </c>
      <c r="G10" s="53" t="s">
        <v>494</v>
      </c>
      <c r="H10" s="101"/>
      <c r="I10" s="18"/>
      <c r="J10" s="18"/>
      <c r="K10" s="18"/>
      <c r="L10" s="18"/>
      <c r="M10" s="18"/>
      <c r="N10" s="18"/>
      <c r="O10" s="18"/>
      <c r="P10" s="18"/>
      <c r="Q10" s="18"/>
      <c r="R10" s="18"/>
      <c r="S10" s="18"/>
      <c r="T10" s="18"/>
      <c r="U10" s="18"/>
      <c r="V10" s="18"/>
      <c r="W10" s="18"/>
      <c r="X10" s="18"/>
      <c r="Y10" s="18"/>
    </row>
    <row r="11" spans="1:64" ht="18.25" customHeight="1">
      <c r="B11" s="51">
        <v>4</v>
      </c>
      <c r="C11" s="52" t="s">
        <v>495</v>
      </c>
      <c r="D11" s="53" t="s">
        <v>488</v>
      </c>
      <c r="E11" s="53" t="s">
        <v>444</v>
      </c>
      <c r="F11" s="123" t="s">
        <v>496</v>
      </c>
      <c r="G11" s="53" t="s">
        <v>497</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498</v>
      </c>
      <c r="D12" s="53" t="s">
        <v>488</v>
      </c>
      <c r="E12" s="53" t="s">
        <v>444</v>
      </c>
      <c r="F12" s="123" t="s">
        <v>499</v>
      </c>
      <c r="G12" s="53" t="s">
        <v>500</v>
      </c>
      <c r="H12" s="101"/>
      <c r="I12" s="18"/>
      <c r="J12" s="18"/>
      <c r="K12" s="18"/>
      <c r="L12" s="18"/>
      <c r="M12" s="18"/>
      <c r="N12" s="18"/>
      <c r="O12" s="18"/>
      <c r="P12" s="18"/>
      <c r="Q12" s="18"/>
      <c r="R12" s="18"/>
      <c r="S12" s="18"/>
      <c r="T12" s="18"/>
      <c r="U12" s="18"/>
      <c r="V12" s="18"/>
      <c r="W12" s="18"/>
      <c r="X12" s="18"/>
      <c r="Y12" s="18"/>
    </row>
    <row r="13" spans="1:64" ht="18.25" customHeight="1">
      <c r="B13" s="51">
        <v>6</v>
      </c>
      <c r="C13" s="52" t="s">
        <v>501</v>
      </c>
      <c r="D13" s="53" t="s">
        <v>488</v>
      </c>
      <c r="E13" s="53" t="s">
        <v>429</v>
      </c>
      <c r="F13" s="123" t="s">
        <v>502</v>
      </c>
      <c r="G13" s="53" t="s">
        <v>503</v>
      </c>
      <c r="H13" s="101"/>
      <c r="I13" s="18"/>
      <c r="J13" s="18"/>
      <c r="K13" s="18"/>
      <c r="L13" s="18"/>
      <c r="M13" s="18"/>
      <c r="N13" s="18"/>
      <c r="O13" s="18"/>
      <c r="P13" s="18"/>
      <c r="Q13" s="18"/>
      <c r="R13" s="18"/>
      <c r="S13" s="18"/>
      <c r="T13" s="18"/>
      <c r="V13" s="18"/>
      <c r="W13" s="18"/>
      <c r="X13" s="18"/>
      <c r="Y13" s="18"/>
    </row>
    <row r="14" spans="1:64" ht="18.25" customHeight="1">
      <c r="B14" s="51">
        <v>7</v>
      </c>
      <c r="C14" s="52" t="s">
        <v>504</v>
      </c>
      <c r="D14" s="53" t="s">
        <v>488</v>
      </c>
      <c r="E14" s="53" t="s">
        <v>442</v>
      </c>
      <c r="F14" s="123" t="s">
        <v>506</v>
      </c>
      <c r="G14" s="53" t="s">
        <v>509</v>
      </c>
      <c r="H14" s="101"/>
      <c r="I14" s="18"/>
      <c r="J14" s="18"/>
      <c r="K14" s="18"/>
      <c r="L14" s="18"/>
      <c r="M14" s="18"/>
      <c r="N14" s="18"/>
      <c r="O14" s="18"/>
      <c r="P14" s="18"/>
      <c r="Q14" s="18"/>
      <c r="R14" s="18"/>
      <c r="S14" s="18"/>
      <c r="T14" s="18"/>
      <c r="U14" s="18"/>
      <c r="V14" s="18"/>
      <c r="W14" s="18"/>
      <c r="X14" s="18"/>
      <c r="Y14" s="18"/>
    </row>
    <row r="15" spans="1:64" ht="18.25" customHeight="1">
      <c r="B15" s="51">
        <v>8</v>
      </c>
      <c r="C15" s="52" t="s">
        <v>511</v>
      </c>
      <c r="D15" s="53" t="s">
        <v>488</v>
      </c>
      <c r="E15" s="53" t="s">
        <v>439</v>
      </c>
      <c r="F15" s="123" t="s">
        <v>507</v>
      </c>
      <c r="G15" s="53" t="s">
        <v>512</v>
      </c>
      <c r="H15" s="101"/>
      <c r="I15" s="18"/>
      <c r="J15" s="18"/>
      <c r="K15" s="18"/>
      <c r="L15" s="18"/>
      <c r="M15" s="18"/>
      <c r="N15" s="18"/>
      <c r="O15" s="18"/>
      <c r="P15" s="18"/>
      <c r="Q15" s="18"/>
      <c r="R15" s="18"/>
      <c r="S15" s="18"/>
      <c r="T15" s="18"/>
      <c r="U15" s="18"/>
      <c r="V15" s="18"/>
      <c r="W15" s="18"/>
      <c r="X15" s="18"/>
      <c r="Y15" s="18"/>
    </row>
    <row r="16" spans="1:64" ht="18.25" customHeight="1">
      <c r="B16" s="51">
        <v>9</v>
      </c>
      <c r="C16" s="52" t="s">
        <v>505</v>
      </c>
      <c r="D16" s="53" t="s">
        <v>488</v>
      </c>
      <c r="E16" s="53" t="s">
        <v>434</v>
      </c>
      <c r="F16" s="123" t="s">
        <v>508</v>
      </c>
      <c r="G16" s="53" t="s">
        <v>510</v>
      </c>
      <c r="H16" s="101"/>
      <c r="I16" s="18"/>
      <c r="J16" s="18"/>
      <c r="K16" s="18"/>
      <c r="L16" s="18"/>
      <c r="M16" s="18"/>
      <c r="N16" s="18"/>
      <c r="O16" s="18"/>
      <c r="P16" s="18"/>
      <c r="Q16" s="18"/>
      <c r="R16" s="18"/>
      <c r="S16" s="18"/>
      <c r="T16" s="18"/>
      <c r="U16" s="18"/>
      <c r="V16" s="18"/>
      <c r="W16" s="18"/>
      <c r="X16" s="18"/>
      <c r="Y16" s="18"/>
    </row>
    <row r="17" spans="2:25" ht="18.25"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9</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8</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topLeftCell="A98" zoomScale="126" zoomScaleNormal="126" workbookViewId="0">
      <selection activeCell="D95" sqref="D95:D103"/>
    </sheetView>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0</v>
      </c>
      <c r="H12" s="42">
        <f ca="1">IF(($G$15+$K$15)=0,0,G12/($G$15+$K$15))</f>
        <v>0</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27</v>
      </c>
      <c r="H14" s="42">
        <f ca="1">IF(($G$15+$K$15)=0,0,G14/($G$15+$K$15))</f>
        <v>1</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27</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https://www.comunidad.madrid/hospital/atencionprimaria/home</v>
      </c>
      <c r="D19" s="99" t="s">
        <v>104</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Ciudadanos</v>
      </c>
      <c r="C20" s="174" t="str" cm="1">
        <f t="array" ref="C20">IFERROR(INDEX('03.Muestra'!$F$8:$F$42,SMALL(IF("Página Web"='03.Muestra'!$D$8:$D$42,ROW('03.Muestra'!$F$8:$F$42)-MIN(ROW('03.Muestra'!$D$8:$D$42))+1,""),ROW()-18)),"")</f>
        <v>https://www.comunidad.madrid/hospital/atencionprimaria/ciudadanos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0</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Profesionales</v>
      </c>
      <c r="C21" s="174" t="str" cm="1">
        <f t="array" ref="C21">IFERROR(INDEX('03.Muestra'!$F$8:$F$42,SMALL(IF("Página Web"='03.Muestra'!$D$8:$D$42,ROW('03.Muestra'!$F$8:$F$42)-MIN(ROW('03.Muestra'!$D$8:$D$42))+1,""),ROW()-18)),"")</f>
        <v>https://www.comunidad.madrid/hospital/atencionprimaria/profesionales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Comunicación</v>
      </c>
      <c r="C22" s="174" t="str" cm="1">
        <f t="array" ref="C22">IFERROR(INDEX('03.Muestra'!$F$8:$F$42,SMALL(IF("Página Web"='03.Muestra'!$D$8:$D$42,ROW('03.Muestra'!$F$8:$F$42)-MIN(ROW('03.Muestra'!$D$8:$D$42))+1,""),ROW()-18)),"")</f>
        <v>https://www.comunidad.madrid/hospital/atencionprimaria/comunicación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Nosotros</v>
      </c>
      <c r="C23" s="174" t="str" cm="1">
        <f t="array" ref="C23">IFERROR(INDEX('03.Muestra'!$F$8:$F$42,SMALL(IF("Página Web"='03.Muestra'!$D$8:$D$42,ROW('03.Muestra'!$F$8:$F$42)-MIN(ROW('03.Muestra'!$D$8:$D$42))+1,""),ROW()-18)),"")</f>
        <v>https://www.comunidad.madrid/hospital/atencionprimaria/nosotros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Videoteca</v>
      </c>
      <c r="C24" s="174" t="str" cm="1">
        <f t="array" ref="C24">IFERROR(INDEX('03.Muestra'!$F$8:$F$42,SMALL(IF("Página Web"='03.Muestra'!$D$8:$D$42,ROW('03.Muestra'!$F$8:$F$42)-MIN(ROW('03.Muestra'!$D$8:$D$42))+1,""),ROW()-18)),"")</f>
        <v>https://www.comunidad.madrid/hospital/atencionprimaria/videoteca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Accesibilidad</v>
      </c>
      <c r="C25" s="174" t="str" cm="1">
        <f t="array" ref="C25">IFERROR(INDEX('03.Muestra'!$F$8:$F$42,SMALL(IF("Página Web"='03.Muestra'!$D$8:$D$42,ROW('03.Muestra'!$F$8:$F$42)-MIN(ROW('03.Muestra'!$D$8:$D$42))+1,""),ROW()-18)),"")</f>
        <v>https://www.comunidad.madrid/hospital/atencionprimaria/declaracion-accesibilidad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174" t="str" cm="1">
        <f t="array" ref="B26">IFERROR(INDEX('03.Muestra'!$C$8:$C$42,SMALL(IF("Página Web"='03.Muestra'!$D$8:$D$42,ROW('03.Muestra'!$C$8:$C$42)-MIN(ROW('03.Muestra'!$D$8:$D$42))+1,""),ROW()-18)),"")</f>
        <v>Aviso Legal - Privacidad</v>
      </c>
      <c r="C26" s="174" t="str" cm="1">
        <f t="array" ref="C26">IFERROR(INDEX('03.Muestra'!$F$8:$F$42,SMALL(IF("Página Web"='03.Muestra'!$D$8:$D$42,ROW('03.Muestra'!$F$8:$F$42)-MIN(ROW('03.Muestra'!$D$8:$D$42))+1,""),ROW()-18)),"")</f>
        <v>https://www.comunidad.madrid/hospital/atencionprimaria/aviso-legal-privacidad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174" t="str" cm="1">
        <f t="array" ref="B27">IFERROR(INDEX('03.Muestra'!$C$8:$C$42,SMALL(IF("Página Web"='03.Muestra'!$D$8:$D$42,ROW('03.Muestra'!$C$8:$C$42)-MIN(ROW('03.Muestra'!$D$8:$D$42))+1,""),ROW()-18)),"")</f>
        <v>Mapa Web</v>
      </c>
      <c r="C27" s="174" t="str" cm="1">
        <f t="array" ref="C27">IFERROR(INDEX('03.Muestra'!$F$8:$F$42,SMALL(IF("Página Web"='03.Muestra'!$D$8:$D$42,ROW('03.Muestra'!$F$8:$F$42)-MIN(ROW('03.Muestra'!$D$8:$D$42))+1,""),ROW()-18)),"")</f>
        <v>https://www.comunidad.madrid/hospital/atencionprimaria/sitemap</v>
      </c>
      <c r="D27" s="99" t="s">
        <v>104</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https://www.comunidad.madrid/hospital/atencionprimaria/home</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Ciudadanos</v>
      </c>
      <c r="C58" s="175" t="str" cm="1">
        <f t="array" ref="C58">IFERROR(INDEX('03.Muestra'!$F$8:$F$42,SMALL(IF("Página Web"='03.Muestra'!$D$8:$D$42,ROW('03.Muestra'!$F$8:$F$42)-MIN(ROW('03.Muestra'!$D$8:$D$42))+1,""),ROW()-56)),"")</f>
        <v>https://www.comunidad.madrid/hospital/atencionprimaria/ciudadanos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Profesionales</v>
      </c>
      <c r="C59" s="175" t="str" cm="1">
        <f t="array" ref="C59">IFERROR(INDEX('03.Muestra'!$F$8:$F$42,SMALL(IF("Página Web"='03.Muestra'!$D$8:$D$42,ROW('03.Muestra'!$F$8:$F$42)-MIN(ROW('03.Muestra'!$D$8:$D$42))+1,""),ROW()-56)),"")</f>
        <v>https://www.comunidad.madrid/hospital/atencionprimaria/profesionales</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Comunicación</v>
      </c>
      <c r="C60" s="175" t="str" cm="1">
        <f t="array" ref="C60">IFERROR(INDEX('03.Muestra'!$F$8:$F$42,SMALL(IF("Página Web"='03.Muestra'!$D$8:$D$42,ROW('03.Muestra'!$F$8:$F$42)-MIN(ROW('03.Muestra'!$D$8:$D$42))+1,""),ROW()-56)),"")</f>
        <v>https://www.comunidad.madrid/hospital/atencionprimaria/comunicación</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Nosotros</v>
      </c>
      <c r="C61" s="175" t="str" cm="1">
        <f t="array" ref="C61">IFERROR(INDEX('03.Muestra'!$F$8:$F$42,SMALL(IF("Página Web"='03.Muestra'!$D$8:$D$42,ROW('03.Muestra'!$F$8:$F$42)-MIN(ROW('03.Muestra'!$D$8:$D$42))+1,""),ROW()-56)),"")</f>
        <v>https://www.comunidad.madrid/hospital/atencionprimaria/nosotros</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Videoteca</v>
      </c>
      <c r="C62" s="175" t="str" cm="1">
        <f t="array" ref="C62">IFERROR(INDEX('03.Muestra'!$F$8:$F$42,SMALL(IF("Página Web"='03.Muestra'!$D$8:$D$42,ROW('03.Muestra'!$F$8:$F$42)-MIN(ROW('03.Muestra'!$D$8:$D$42))+1,""),ROW()-56)),"")</f>
        <v>https://www.comunidad.madrid/hospital/atencionprimaria/videoteca</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Accesibilidad</v>
      </c>
      <c r="C63" s="175" t="str" cm="1">
        <f t="array" ref="C63">IFERROR(INDEX('03.Muestra'!$F$8:$F$42,SMALL(IF("Página Web"='03.Muestra'!$D$8:$D$42,ROW('03.Muestra'!$F$8:$F$42)-MIN(ROW('03.Muestra'!$D$8:$D$42))+1,""),ROW()-56)),"")</f>
        <v>https://www.comunidad.madrid/hospital/atencionprimaria/declaracion-accesibilidad</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cm="1">
        <f t="array" ref="A64">IFERROR(INDEX('03.Muestra'!$B$8:$B$42,SMALL(IF("Página Web"='03.Muestra'!$D$8:$D$42,ROW('03.Muestra'!$B$8:$B$42)-MIN(ROW('03.Muestra'!$D$8:$D$42))+1,""),ROW()-56)),"")</f>
        <v>8</v>
      </c>
      <c r="B64" s="175" t="str" cm="1">
        <f t="array" ref="B64">IFERROR(INDEX('03.Muestra'!$C$8:$C$42,SMALL(IF("Página Web"='03.Muestra'!$D$8:$D$42,ROW('03.Muestra'!$C$8:$C$42)-MIN(ROW('03.Muestra'!$D$8:$D$42))+1,""),ROW()-56)),"")</f>
        <v>Aviso Legal - Privacidad</v>
      </c>
      <c r="C64" s="175" t="str" cm="1">
        <f t="array" ref="C64">IFERROR(INDEX('03.Muestra'!$F$8:$F$42,SMALL(IF("Página Web"='03.Muestra'!$D$8:$D$42,ROW('03.Muestra'!$F$8:$F$42)-MIN(ROW('03.Muestra'!$D$8:$D$42))+1,""),ROW()-56)),"")</f>
        <v>https://www.comunidad.madrid/hospital/atencionprimaria/aviso-legal-privacidad</v>
      </c>
      <c r="D64" s="99" t="s">
        <v>104</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cm="1">
        <f t="array" ref="A65">IFERROR(INDEX('03.Muestra'!$B$8:$B$42,SMALL(IF("Página Web"='03.Muestra'!$D$8:$D$42,ROW('03.Muestra'!$B$8:$B$42)-MIN(ROW('03.Muestra'!$D$8:$D$42))+1,""),ROW()-56)),"")</f>
        <v>9</v>
      </c>
      <c r="B65" s="175" t="str" cm="1">
        <f t="array" ref="B65">IFERROR(INDEX('03.Muestra'!$C$8:$C$42,SMALL(IF("Página Web"='03.Muestra'!$D$8:$D$42,ROW('03.Muestra'!$C$8:$C$42)-MIN(ROW('03.Muestra'!$D$8:$D$42))+1,""),ROW()-56)),"")</f>
        <v>Mapa Web</v>
      </c>
      <c r="C65" s="175" t="str" cm="1">
        <f t="array" ref="C65">IFERROR(INDEX('03.Muestra'!$F$8:$F$42,SMALL(IF("Página Web"='03.Muestra'!$D$8:$D$42,ROW('03.Muestra'!$F$8:$F$42)-MIN(ROW('03.Muestra'!$D$8:$D$42))+1,""),ROW()-56)),"")</f>
        <v>https://www.comunidad.madrid/hospital/atencionprimaria/sitemap</v>
      </c>
      <c r="D65" s="99" t="s">
        <v>104</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https://www.comunidad.madrid/hospital/atencionprimaria/home</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Ciudadanos</v>
      </c>
      <c r="C96" s="175" t="str" cm="1">
        <f t="array" ref="C96">IFERROR(INDEX('03.Muestra'!$F$8:$F$42,SMALL(IF("Página Web"='03.Muestra'!$D$8:$D$42,ROW('03.Muestra'!$F$8:$F$42)-MIN(ROW('03.Muestra'!$D$8:$D$42))+1,""),ROW()-94)),"")</f>
        <v>https://www.comunidad.madrid/hospital/atencionprimaria/ciudadanos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Profesionales</v>
      </c>
      <c r="C97" s="175" t="str" cm="1">
        <f t="array" ref="C97">IFERROR(INDEX('03.Muestra'!$F$8:$F$42,SMALL(IF("Página Web"='03.Muestra'!$D$8:$D$42,ROW('03.Muestra'!$F$8:$F$42)-MIN(ROW('03.Muestra'!$D$8:$D$42))+1,""),ROW()-94)),"")</f>
        <v>https://www.comunidad.madrid/hospital/atencionprimaria/profesionales</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Comunicación</v>
      </c>
      <c r="C98" s="175" t="str" cm="1">
        <f t="array" ref="C98">IFERROR(INDEX('03.Muestra'!$F$8:$F$42,SMALL(IF("Página Web"='03.Muestra'!$D$8:$D$42,ROW('03.Muestra'!$F$8:$F$42)-MIN(ROW('03.Muestra'!$D$8:$D$42))+1,""),ROW()-94)),"")</f>
        <v>https://www.comunidad.madrid/hospital/atencionprimaria/comunicación</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Nosotros</v>
      </c>
      <c r="C99" s="175" t="str" cm="1">
        <f t="array" ref="C99">IFERROR(INDEX('03.Muestra'!$F$8:$F$42,SMALL(IF("Página Web"='03.Muestra'!$D$8:$D$42,ROW('03.Muestra'!$F$8:$F$42)-MIN(ROW('03.Muestra'!$D$8:$D$42))+1,""),ROW()-94)),"")</f>
        <v>https://www.comunidad.madrid/hospital/atencionprimaria/nosotros</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Videoteca</v>
      </c>
      <c r="C100" s="175" t="str" cm="1">
        <f t="array" ref="C100">IFERROR(INDEX('03.Muestra'!$F$8:$F$42,SMALL(IF("Página Web"='03.Muestra'!$D$8:$D$42,ROW('03.Muestra'!$F$8:$F$42)-MIN(ROW('03.Muestra'!$D$8:$D$42))+1,""),ROW()-94)),"")</f>
        <v>https://www.comunidad.madrid/hospital/atencionprimaria/videoteca</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Accesibilidad</v>
      </c>
      <c r="C101" s="175" t="str" cm="1">
        <f t="array" ref="C101">IFERROR(INDEX('03.Muestra'!$F$8:$F$42,SMALL(IF("Página Web"='03.Muestra'!$D$8:$D$42,ROW('03.Muestra'!$F$8:$F$42)-MIN(ROW('03.Muestra'!$D$8:$D$42))+1,""),ROW()-94)),"")</f>
        <v>https://www.comunidad.madrid/hospital/atencionprimaria/declaracion-accesibilidad</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cm="1">
        <f t="array" ref="A102">IFERROR(INDEX('03.Muestra'!$B$8:$B$42,SMALL(IF("Página Web"='03.Muestra'!$D$8:$D$42,ROW('03.Muestra'!$B$8:$B$42)-MIN(ROW('03.Muestra'!$D$8:$D$42))+1,""),ROW()-94)),"")</f>
        <v>8</v>
      </c>
      <c r="B102" s="175" t="str" cm="1">
        <f t="array" ref="B102">IFERROR(INDEX('03.Muestra'!$C$8:$C$42,SMALL(IF("Página Web"='03.Muestra'!$D$8:$D$42,ROW('03.Muestra'!$C$8:$C$42)-MIN(ROW('03.Muestra'!$D$8:$D$42))+1,""),ROW()-94)),"")</f>
        <v>Aviso Legal - Privacidad</v>
      </c>
      <c r="C102" s="175" t="str" cm="1">
        <f t="array" ref="C102">IFERROR(INDEX('03.Muestra'!$F$8:$F$42,SMALL(IF("Página Web"='03.Muestra'!$D$8:$D$42,ROW('03.Muestra'!$F$8:$F$42)-MIN(ROW('03.Muestra'!$D$8:$D$42))+1,""),ROW()-94)),"")</f>
        <v>https://www.comunidad.madrid/hospital/atencionprimaria/aviso-legal-privacidad</v>
      </c>
      <c r="D102" s="99" t="s">
        <v>104</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cm="1">
        <f t="array" ref="A103">IFERROR(INDEX('03.Muestra'!$B$8:$B$42,SMALL(IF("Página Web"='03.Muestra'!$D$8:$D$42,ROW('03.Muestra'!$B$8:$B$42)-MIN(ROW('03.Muestra'!$D$8:$D$42))+1,""),ROW()-94)),"")</f>
        <v>9</v>
      </c>
      <c r="B103" s="175" t="str" cm="1">
        <f t="array" ref="B103">IFERROR(INDEX('03.Muestra'!$C$8:$C$42,SMALL(IF("Página Web"='03.Muestra'!$D$8:$D$42,ROW('03.Muestra'!$C$8:$C$42)-MIN(ROW('03.Muestra'!$D$8:$D$42))+1,""),ROW()-94)),"")</f>
        <v>Mapa Web</v>
      </c>
      <c r="C103" s="175" t="str" cm="1">
        <f t="array" ref="C103">IFERROR(INDEX('03.Muestra'!$F$8:$F$42,SMALL(IF("Página Web"='03.Muestra'!$D$8:$D$42,ROW('03.Muestra'!$F$8:$F$42)-MIN(ROW('03.Muestra'!$D$8:$D$42))+1,""),ROW()-94)),"")</f>
        <v>https://www.comunidad.madrid/hospital/atencionprimaria/sitemap</v>
      </c>
      <c r="D103" s="99" t="s">
        <v>104</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701" zoomScale="120" zoomScaleNormal="120" workbookViewId="0">
      <selection activeCell="D703" sqref="D703:D711"/>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171</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171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https://www.comunidad.madrid/hospital/atencionprimaria/home</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https://www.comunidad.madrid/hospital/atencionprimaria/ciudadanos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9</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https://www.comunidad.madrid/hospital/atencionprimaria/profesionales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https://www.comunidad.madrid/hospital/atencionprimaria/comunicación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https://www.comunidad.madrid/hospital/atencionprimaria/nosotros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Videoteca</v>
      </c>
      <c r="C24" s="85" t="str" cm="1">
        <f t="array" ref="C24">IFERROR(INDEX('03.Muestra'!$F$8:$F$42,SMALL(IF("Página Web"='03.Muestra'!$D$8:$D$42,ROW('03.Muestra'!$F$8:$F$42)-MIN(ROW('03.Muestra'!$D$8:$D$42))+1,""),ROW()-18)),"")</f>
        <v>https://www.comunidad.madrid/hospital/atencionprimaria/videoteca</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https://www.comunidad.madrid/hospital/atencionprimaria/declaracion-accesibilidad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 - Privacidad</v>
      </c>
      <c r="C26" s="85" t="str" cm="1">
        <f t="array" ref="C26">IFERROR(INDEX('03.Muestra'!$F$8:$F$42,SMALL(IF("Página Web"='03.Muestra'!$D$8:$D$42,ROW('03.Muestra'!$F$8:$F$42)-MIN(ROW('03.Muestra'!$D$8:$D$42))+1,""),ROW()-18)),"")</f>
        <v>https://www.comunidad.madrid/hospital/atencionprimaria/aviso-legal-privacidad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https://www.comunidad.madrid/hospital/atencionprimaria/sitemap</v>
      </c>
      <c r="D27" s="99" t="s">
        <v>104</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https://www.comunidad.madrid/hospital/atencionprimaria/home</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https://www.comunidad.madrid/hospital/atencionprimaria/ciudadanos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https://www.comunidad.madrid/hospital/atencionprimaria/profesionales</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https://www.comunidad.madrid/hospital/atencionprimaria/comunicación</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https://www.comunidad.madrid/hospital/atencionprimaria/nosotros</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Videoteca</v>
      </c>
      <c r="C62" s="85" t="str" cm="1">
        <f t="array" ref="C62">IFERROR(INDEX('03.Muestra'!$F$8:$F$42,SMALL(IF("Página Web"='03.Muestra'!$D$8:$D$42,ROW('03.Muestra'!$F$8:$F$42)-MIN(ROW('03.Muestra'!$D$8:$D$42))+1,""),ROW()-56)),"")</f>
        <v>https://www.comunidad.madrid/hospital/atencionprimaria/videoteca</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https://www.comunidad.madrid/hospital/atencionprimaria/declaracion-accesibilidad</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 - Privacidad</v>
      </c>
      <c r="C64" s="85" t="str" cm="1">
        <f t="array" ref="C64">IFERROR(INDEX('03.Muestra'!$F$8:$F$42,SMALL(IF("Página Web"='03.Muestra'!$D$8:$D$42,ROW('03.Muestra'!$F$8:$F$42)-MIN(ROW('03.Muestra'!$D$8:$D$42))+1,""),ROW()-56)),"")</f>
        <v>https://www.comunidad.madrid/hospital/atencionprimaria/aviso-legal-privacidad</v>
      </c>
      <c r="D64" s="99" t="s">
        <v>104</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https://www.comunidad.madrid/hospital/atencionprimaria/sitemap</v>
      </c>
      <c r="D65" s="99" t="s">
        <v>104</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https://www.comunidad.madrid/hospital/atencionprimaria/home</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https://www.comunidad.madrid/hospital/atencionprimaria/ciudadanos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https://www.comunidad.madrid/hospital/atencionprimaria/profesionales</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https://www.comunidad.madrid/hospital/atencionprimaria/comunicación</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https://www.comunidad.madrid/hospital/atencionprimaria/nosotros</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Videoteca</v>
      </c>
      <c r="C100" s="85" t="str" cm="1">
        <f t="array" ref="C100">IFERROR(INDEX('03.Muestra'!$F$8:$F$42,SMALL(IF("Página Web"='03.Muestra'!$D$8:$D$42,ROW('03.Muestra'!$F$8:$F$42)-MIN(ROW('03.Muestra'!$D$8:$D$42))+1,""),ROW()-94)),"")</f>
        <v>https://www.comunidad.madrid/hospital/atencionprimaria/videoteca</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https://www.comunidad.madrid/hospital/atencionprimaria/declaracion-accesibilidad</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 - Privacidad</v>
      </c>
      <c r="C102" s="85" t="str" cm="1">
        <f t="array" ref="C102">IFERROR(INDEX('03.Muestra'!$F$8:$F$42,SMALL(IF("Página Web"='03.Muestra'!$D$8:$D$42,ROW('03.Muestra'!$F$8:$F$42)-MIN(ROW('03.Muestra'!$D$8:$D$42))+1,""),ROW()-94)),"")</f>
        <v>https://www.comunidad.madrid/hospital/atencionprimaria/aviso-legal-privacidad</v>
      </c>
      <c r="D102" s="99" t="s">
        <v>104</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https://www.comunidad.madrid/hospital/atencionprimaria/sitemap</v>
      </c>
      <c r="D103" s="99" t="s">
        <v>104</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https://www.comunidad.madrid/hospital/atencionprimaria/home</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https://www.comunidad.madrid/hospital/atencionprimaria/ciudadanos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https://www.comunidad.madrid/hospital/atencionprimaria/profesionales</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https://www.comunidad.madrid/hospital/atencionprimaria/comunicación</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https://www.comunidad.madrid/hospital/atencionprimaria/nosotros</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Videoteca</v>
      </c>
      <c r="C138" s="85" t="str" cm="1">
        <f t="array" ref="C138">IFERROR(INDEX('03.Muestra'!$F$8:$F$42,SMALL(IF("Página Web"='03.Muestra'!$D$8:$D$42,ROW('03.Muestra'!$F$8:$F$42)-MIN(ROW('03.Muestra'!$D$8:$D$42))+1,""),ROW()-132)),"")</f>
        <v>https://www.comunidad.madrid/hospital/atencionprimaria/videoteca</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https://www.comunidad.madrid/hospital/atencionprimaria/declaracion-accesibilidad</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 - Privacidad</v>
      </c>
      <c r="C140" s="85" t="str" cm="1">
        <f t="array" ref="C140">IFERROR(INDEX('03.Muestra'!$F$8:$F$42,SMALL(IF("Página Web"='03.Muestra'!$D$8:$D$42,ROW('03.Muestra'!$F$8:$F$42)-MIN(ROW('03.Muestra'!$D$8:$D$42))+1,""),ROW()-132)),"")</f>
        <v>https://www.comunidad.madrid/hospital/atencionprimaria/aviso-legal-privacidad</v>
      </c>
      <c r="D140" s="99" t="s">
        <v>104</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https://www.comunidad.madrid/hospital/atencionprimaria/sitemap</v>
      </c>
      <c r="D141" s="99" t="s">
        <v>104</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https://www.comunidad.madrid/hospital/atencionprimaria/home</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https://www.comunidad.madrid/hospital/atencionprimaria/ciudadanos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https://www.comunidad.madrid/hospital/atencionprimaria/profesionales</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https://www.comunidad.madrid/hospital/atencionprimaria/comunicación</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https://www.comunidad.madrid/hospital/atencionprimaria/nosotros</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Videoteca</v>
      </c>
      <c r="C176" s="85" t="str" cm="1">
        <f t="array" ref="C176">IFERROR(INDEX('03.Muestra'!$F$8:$F$42,SMALL(IF("Página Web"='03.Muestra'!$D$8:$D$42,ROW('03.Muestra'!$F$8:$F$42)-MIN(ROW('03.Muestra'!$D$8:$D$42))+1,""),ROW()-170)),"")</f>
        <v>https://www.comunidad.madrid/hospital/atencionprimaria/videoteca</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https://www.comunidad.madrid/hospital/atencionprimaria/declaracion-accesibilidad</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 - Privacidad</v>
      </c>
      <c r="C178" s="85" t="str" cm="1">
        <f t="array" ref="C178">IFERROR(INDEX('03.Muestra'!$F$8:$F$42,SMALL(IF("Página Web"='03.Muestra'!$D$8:$D$42,ROW('03.Muestra'!$F$8:$F$42)-MIN(ROW('03.Muestra'!$D$8:$D$42))+1,""),ROW()-170)),"")</f>
        <v>https://www.comunidad.madrid/hospital/atencionprimaria/aviso-legal-privacidad</v>
      </c>
      <c r="D178" s="99" t="s">
        <v>104</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https://www.comunidad.madrid/hospital/atencionprimaria/sitemap</v>
      </c>
      <c r="D179" s="99" t="s">
        <v>104</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https://www.comunidad.madrid/hospital/atencionprimaria/home</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https://www.comunidad.madrid/hospital/atencionprimaria/ciudadanos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https://www.comunidad.madrid/hospital/atencionprimaria/profesionales</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https://www.comunidad.madrid/hospital/atencionprimaria/comunicación</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https://www.comunidad.madrid/hospital/atencionprimaria/nosotros</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Videoteca</v>
      </c>
      <c r="C214" s="85" t="str" cm="1">
        <f t="array" ref="C214">IFERROR(INDEX('03.Muestra'!$F$8:$F$42,SMALL(IF("Página Web"='03.Muestra'!$D$8:$D$42,ROW('03.Muestra'!$F$8:$F$42)-MIN(ROW('03.Muestra'!$D$8:$D$42))+1,""),ROW()-208)),"")</f>
        <v>https://www.comunidad.madrid/hospital/atencionprimaria/videoteca</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https://www.comunidad.madrid/hospital/atencionprimaria/declaracion-accesibilidad</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 - Privacidad</v>
      </c>
      <c r="C216" s="85" t="str" cm="1">
        <f t="array" ref="C216">IFERROR(INDEX('03.Muestra'!$F$8:$F$42,SMALL(IF("Página Web"='03.Muestra'!$D$8:$D$42,ROW('03.Muestra'!$F$8:$F$42)-MIN(ROW('03.Muestra'!$D$8:$D$42))+1,""),ROW()-208)),"")</f>
        <v>https://www.comunidad.madrid/hospital/atencionprimaria/aviso-legal-privacidad</v>
      </c>
      <c r="D216" s="99" t="s">
        <v>104</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https://www.comunidad.madrid/hospital/atencionprimaria/sitemap</v>
      </c>
      <c r="D217" s="99" t="s">
        <v>104</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https://www.comunidad.madrid/hospital/atencionprimaria/home</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https://www.comunidad.madrid/hospital/atencionprimaria/ciudadanos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9</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https://www.comunidad.madrid/hospital/atencionprimaria/profesionales</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https://www.comunidad.madrid/hospital/atencionprimaria/comunicación</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https://www.comunidad.madrid/hospital/atencionprimaria/nosotros</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Videoteca</v>
      </c>
      <c r="C252" s="85" t="str" cm="1">
        <f t="array" ref="C252">IFERROR(INDEX('03.Muestra'!$F$8:$F$42,SMALL(IF("Página Web"='03.Muestra'!$D$8:$D$42,ROW('03.Muestra'!$F$8:$F$42)-MIN(ROW('03.Muestra'!$D$8:$D$42))+1,""),ROW()-246)),"")</f>
        <v>https://www.comunidad.madrid/hospital/atencionprimaria/videoteca</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https://www.comunidad.madrid/hospital/atencionprimaria/declaracion-accesibilidad</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 - Privacidad</v>
      </c>
      <c r="C254" s="85" t="str" cm="1">
        <f t="array" ref="C254">IFERROR(INDEX('03.Muestra'!$F$8:$F$42,SMALL(IF("Página Web"='03.Muestra'!$D$8:$D$42,ROW('03.Muestra'!$F$8:$F$42)-MIN(ROW('03.Muestra'!$D$8:$D$42))+1,""),ROW()-246)),"")</f>
        <v>https://www.comunidad.madrid/hospital/atencionprimaria/aviso-legal-privacidad</v>
      </c>
      <c r="D254" s="99" t="s">
        <v>104</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https://www.comunidad.madrid/hospital/atencionprimaria/sitemap</v>
      </c>
      <c r="D255" s="99" t="s">
        <v>104</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https://www.comunidad.madrid/hospital/atencionprimaria/home</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https://www.comunidad.madrid/hospital/atencionprimaria/ciudadanos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9</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https://www.comunidad.madrid/hospital/atencionprimaria/profesionales</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https://www.comunidad.madrid/hospital/atencionprimaria/comunicación</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https://www.comunidad.madrid/hospital/atencionprimaria/nosotros</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Videoteca</v>
      </c>
      <c r="C290" s="85" t="str" cm="1">
        <f t="array" ref="C290">IFERROR(INDEX('03.Muestra'!$F$8:$F$42,SMALL(IF("Página Web"='03.Muestra'!$D$8:$D$42,ROW('03.Muestra'!$F$8:$F$42)-MIN(ROW('03.Muestra'!$D$8:$D$42))+1,""),ROW()-284)),"")</f>
        <v>https://www.comunidad.madrid/hospital/atencionprimaria/videoteca</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https://www.comunidad.madrid/hospital/atencionprimaria/declaracion-accesibilidad</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 - Privacidad</v>
      </c>
      <c r="C292" s="85" t="str" cm="1">
        <f t="array" ref="C292">IFERROR(INDEX('03.Muestra'!$F$8:$F$42,SMALL(IF("Página Web"='03.Muestra'!$D$8:$D$42,ROW('03.Muestra'!$F$8:$F$42)-MIN(ROW('03.Muestra'!$D$8:$D$42))+1,""),ROW()-284)),"")</f>
        <v>https://www.comunidad.madrid/hospital/atencionprimaria/aviso-legal-privacidad</v>
      </c>
      <c r="D292" s="99" t="s">
        <v>104</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https://www.comunidad.madrid/hospital/atencionprimaria/sitemap</v>
      </c>
      <c r="D293" s="99" t="s">
        <v>104</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https://www.comunidad.madrid/hospital/atencionprimaria/home</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https://www.comunidad.madrid/hospital/atencionprimaria/ciudadanos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9</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https://www.comunidad.madrid/hospital/atencionprimaria/profesionales</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https://www.comunidad.madrid/hospital/atencionprimaria/comunicación</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https://www.comunidad.madrid/hospital/atencionprimaria/nosotros</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Videoteca</v>
      </c>
      <c r="C328" s="85" t="str" cm="1">
        <f t="array" ref="C328">IFERROR(INDEX('03.Muestra'!$F$8:$F$42,SMALL(IF("Página Web"='03.Muestra'!$D$8:$D$42,ROW('03.Muestra'!$F$8:$F$42)-MIN(ROW('03.Muestra'!$D$8:$D$42))+1,""),ROW()-322)),"")</f>
        <v>https://www.comunidad.madrid/hospital/atencionprimaria/videoteca</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https://www.comunidad.madrid/hospital/atencionprimaria/declaracion-accesibilidad</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 - Privacidad</v>
      </c>
      <c r="C330" s="85" t="str" cm="1">
        <f t="array" ref="C330">IFERROR(INDEX('03.Muestra'!$F$8:$F$42,SMALL(IF("Página Web"='03.Muestra'!$D$8:$D$42,ROW('03.Muestra'!$F$8:$F$42)-MIN(ROW('03.Muestra'!$D$8:$D$42))+1,""),ROW()-322)),"")</f>
        <v>https://www.comunidad.madrid/hospital/atencionprimaria/aviso-legal-privacidad</v>
      </c>
      <c r="D330" s="99" t="s">
        <v>104</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https://www.comunidad.madrid/hospital/atencionprimaria/sitemap</v>
      </c>
      <c r="D331" s="99" t="s">
        <v>104</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https://www.comunidad.madrid/hospital/atencionprimaria/home</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https://www.comunidad.madrid/hospital/atencionprimaria/ciudadanos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https://www.comunidad.madrid/hospital/atencionprimaria/profesionales</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https://www.comunidad.madrid/hospital/atencionprimaria/comunicación</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https://www.comunidad.madrid/hospital/atencionprimaria/nosotros</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Videoteca</v>
      </c>
      <c r="C366" s="85" t="str" cm="1">
        <f t="array" ref="C366">IFERROR(INDEX('03.Muestra'!$F$8:$F$42,SMALL(IF("Página Web"='03.Muestra'!$D$8:$D$42,ROW('03.Muestra'!$F$8:$F$42)-MIN(ROW('03.Muestra'!$D$8:$D$42))+1,""),ROW()-360)),"")</f>
        <v>https://www.comunidad.madrid/hospital/atencionprimaria/videoteca</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https://www.comunidad.madrid/hospital/atencionprimaria/declaracion-accesibilidad</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 - Privacidad</v>
      </c>
      <c r="C368" s="85" t="str" cm="1">
        <f t="array" ref="C368">IFERROR(INDEX('03.Muestra'!$F$8:$F$42,SMALL(IF("Página Web"='03.Muestra'!$D$8:$D$42,ROW('03.Muestra'!$F$8:$F$42)-MIN(ROW('03.Muestra'!$D$8:$D$42))+1,""),ROW()-360)),"")</f>
        <v>https://www.comunidad.madrid/hospital/atencionprimaria/aviso-legal-privacidad</v>
      </c>
      <c r="D368" s="99" t="s">
        <v>104</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https://www.comunidad.madrid/hospital/atencionprimaria/sitemap</v>
      </c>
      <c r="D369" s="99" t="s">
        <v>104</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ref="D370:D395" si="19">IF(AND(B370&lt;&gt;"",C370&lt;&gt;""),"N/T","")</f>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https://www.comunidad.madrid/hospital/atencionprimaria/home</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https://www.comunidad.madrid/hospital/atencionprimaria/ciudadanos</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9</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https://www.comunidad.madrid/hospital/atencionprimaria/profesionales</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https://www.comunidad.madrid/hospital/atencionprimaria/comunicación</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https://www.comunidad.madrid/hospital/atencionprimaria/nosotros</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Videoteca</v>
      </c>
      <c r="C404" s="85" t="str" cm="1">
        <f t="array" ref="C404">IFERROR(INDEX('03.Muestra'!$F$8:$F$42,SMALL(IF("Página Web"='03.Muestra'!$D$8:$D$42,ROW('03.Muestra'!$F$8:$F$42)-MIN(ROW('03.Muestra'!$D$8:$D$42))+1,""),ROW()-398)),"")</f>
        <v>https://www.comunidad.madrid/hospital/atencionprimaria/videoteca</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https://www.comunidad.madrid/hospital/atencionprimaria/declaracion-accesibilidad</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 - Privacidad</v>
      </c>
      <c r="C406" s="85" t="str" cm="1">
        <f t="array" ref="C406">IFERROR(INDEX('03.Muestra'!$F$8:$F$42,SMALL(IF("Página Web"='03.Muestra'!$D$8:$D$42,ROW('03.Muestra'!$F$8:$F$42)-MIN(ROW('03.Muestra'!$D$8:$D$42))+1,""),ROW()-398)),"")</f>
        <v>https://www.comunidad.madrid/hospital/atencionprimaria/aviso-legal-privacidad</v>
      </c>
      <c r="D406" s="99" t="s">
        <v>104</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https://www.comunidad.madrid/hospital/atencionprimaria/sitemap</v>
      </c>
      <c r="D407" s="99" t="s">
        <v>104</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ref="D408:D433" si="21">IF(AND(B408&lt;&gt;"",C408&lt;&gt;""),"N/T","")</f>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https://www.comunidad.madrid/hospital/atencionprimaria/home</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https://www.comunidad.madrid/hospital/atencionprimaria/ciudadanos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9</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https://www.comunidad.madrid/hospital/atencionprimaria/profesionales</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https://www.comunidad.madrid/hospital/atencionprimaria/comunicación</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https://www.comunidad.madrid/hospital/atencionprimaria/nosotros</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Videoteca</v>
      </c>
      <c r="C442" s="85" t="str" cm="1">
        <f t="array" ref="C442">IFERROR(INDEX('03.Muestra'!$F$8:$F$42,SMALL(IF("Página Web"='03.Muestra'!$D$8:$D$42,ROW('03.Muestra'!$F$8:$F$42)-MIN(ROW('03.Muestra'!$D$8:$D$42))+1,""),ROW()-436)),"")</f>
        <v>https://www.comunidad.madrid/hospital/atencionprimaria/videoteca</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https://www.comunidad.madrid/hospital/atencionprimaria/declaracion-accesibilidad</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 - Privacidad</v>
      </c>
      <c r="C444" s="85" t="str" cm="1">
        <f t="array" ref="C444">IFERROR(INDEX('03.Muestra'!$F$8:$F$42,SMALL(IF("Página Web"='03.Muestra'!$D$8:$D$42,ROW('03.Muestra'!$F$8:$F$42)-MIN(ROW('03.Muestra'!$D$8:$D$42))+1,""),ROW()-436)),"")</f>
        <v>https://www.comunidad.madrid/hospital/atencionprimaria/aviso-legal-privacidad</v>
      </c>
      <c r="D444" s="99" t="s">
        <v>104</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https://www.comunidad.madrid/hospital/atencionprimaria/sitemap</v>
      </c>
      <c r="D445" s="99" t="s">
        <v>104</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ref="D446:D471" si="23">IF(AND(B446&lt;&gt;"",C446&lt;&gt;""),"N/T","")</f>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https://www.comunidad.madrid/hospital/atencionprimaria/home</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https://www.comunidad.madrid/hospital/atencionprimaria/ciudadanos</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9</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https://www.comunidad.madrid/hospital/atencionprimaria/profesionales</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https://www.comunidad.madrid/hospital/atencionprimaria/comunicación</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https://www.comunidad.madrid/hospital/atencionprimaria/nosotros</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Videoteca</v>
      </c>
      <c r="C480" s="85" t="str" cm="1">
        <f t="array" ref="C480">IFERROR(INDEX('03.Muestra'!$F$8:$F$42,SMALL(IF("Página Web"='03.Muestra'!$D$8:$D$42,ROW('03.Muestra'!$F$8:$F$42)-MIN(ROW('03.Muestra'!$D$8:$D$42))+1,""),ROW()-474)),"")</f>
        <v>https://www.comunidad.madrid/hospital/atencionprimaria/videoteca</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https://www.comunidad.madrid/hospital/atencionprimaria/declaracion-accesibilidad</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 - Privacidad</v>
      </c>
      <c r="C482" s="85" t="str" cm="1">
        <f t="array" ref="C482">IFERROR(INDEX('03.Muestra'!$F$8:$F$42,SMALL(IF("Página Web"='03.Muestra'!$D$8:$D$42,ROW('03.Muestra'!$F$8:$F$42)-MIN(ROW('03.Muestra'!$D$8:$D$42))+1,""),ROW()-474)),"")</f>
        <v>https://www.comunidad.madrid/hospital/atencionprimaria/aviso-legal-privacidad</v>
      </c>
      <c r="D482" s="99" t="s">
        <v>104</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https://www.comunidad.madrid/hospital/atencionprimaria/sitemap</v>
      </c>
      <c r="D483" s="99" t="s">
        <v>104</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ref="D484:D509" si="25">IF(AND(B484&lt;&gt;"",C484&lt;&gt;""),"N/T","")</f>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https://www.comunidad.madrid/hospital/atencionprimaria/home</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https://www.comunidad.madrid/hospital/atencionprimaria/ciudadanos</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9</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https://www.comunidad.madrid/hospital/atencionprimaria/profesionales</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https://www.comunidad.madrid/hospital/atencionprimaria/comunicación</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https://www.comunidad.madrid/hospital/atencionprimaria/nosotros</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Videoteca</v>
      </c>
      <c r="C518" s="85" t="str" cm="1">
        <f t="array" ref="C518">IFERROR(INDEX('03.Muestra'!$F$8:$F$42,SMALL(IF("Página Web"='03.Muestra'!$D$8:$D$42,ROW('03.Muestra'!$F$8:$F$42)-MIN(ROW('03.Muestra'!$D$8:$D$42))+1,""),ROW()-512)),"")</f>
        <v>https://www.comunidad.madrid/hospital/atencionprimaria/videoteca</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https://www.comunidad.madrid/hospital/atencionprimaria/declaracion-accesibilidad</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 - Privacidad</v>
      </c>
      <c r="C520" s="85" t="str" cm="1">
        <f t="array" ref="C520">IFERROR(INDEX('03.Muestra'!$F$8:$F$42,SMALL(IF("Página Web"='03.Muestra'!$D$8:$D$42,ROW('03.Muestra'!$F$8:$F$42)-MIN(ROW('03.Muestra'!$D$8:$D$42))+1,""),ROW()-512)),"")</f>
        <v>https://www.comunidad.madrid/hospital/atencionprimaria/aviso-legal-privacidad</v>
      </c>
      <c r="D520" s="99" t="s">
        <v>104</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https://www.comunidad.madrid/hospital/atencionprimaria/sitemap</v>
      </c>
      <c r="D521" s="99" t="s">
        <v>104</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ref="D522:D547" si="27">IF(AND(B522&lt;&gt;"",C522&lt;&gt;""),"N/T","")</f>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https://www.comunidad.madrid/hospital/atencionprimaria/home</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https://www.comunidad.madrid/hospital/atencionprimaria/ciudadanos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9</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https://www.comunidad.madrid/hospital/atencionprimaria/profesionales</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https://www.comunidad.madrid/hospital/atencionprimaria/comunicación</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https://www.comunidad.madrid/hospital/atencionprimaria/nosotros</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Videoteca</v>
      </c>
      <c r="C556" s="85" t="str" cm="1">
        <f t="array" ref="C556">IFERROR(INDEX('03.Muestra'!$F$8:$F$42,SMALL(IF("Página Web"='03.Muestra'!$D$8:$D$42,ROW('03.Muestra'!$F$8:$F$42)-MIN(ROW('03.Muestra'!$D$8:$D$42))+1,""),ROW()-550)),"")</f>
        <v>https://www.comunidad.madrid/hospital/atencionprimaria/videoteca</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https://www.comunidad.madrid/hospital/atencionprimaria/declaracion-accesibilidad</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 - Privacidad</v>
      </c>
      <c r="C558" s="85" t="str" cm="1">
        <f t="array" ref="C558">IFERROR(INDEX('03.Muestra'!$F$8:$F$42,SMALL(IF("Página Web"='03.Muestra'!$D$8:$D$42,ROW('03.Muestra'!$F$8:$F$42)-MIN(ROW('03.Muestra'!$D$8:$D$42))+1,""),ROW()-550)),"")</f>
        <v>https://www.comunidad.madrid/hospital/atencionprimaria/aviso-legal-privacidad</v>
      </c>
      <c r="D558" s="99" t="s">
        <v>104</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https://www.comunidad.madrid/hospital/atencionprimaria/sitemap</v>
      </c>
      <c r="D559" s="99" t="s">
        <v>104</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ref="D560:D585" si="29">IF(AND(B560&lt;&gt;"",C560&lt;&gt;""),"N/T","")</f>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https://www.comunidad.madrid/hospital/atencionprimaria/home</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https://www.comunidad.madrid/hospital/atencionprimaria/ciudadanos</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9</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https://www.comunidad.madrid/hospital/atencionprimaria/profesionales</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https://www.comunidad.madrid/hospital/atencionprimaria/comunicación</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https://www.comunidad.madrid/hospital/atencionprimaria/nosotros</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Videoteca</v>
      </c>
      <c r="C594" s="85" t="str" cm="1">
        <f t="array" ref="C594">IFERROR(INDEX('03.Muestra'!$F$8:$F$42,SMALL(IF("Página Web"='03.Muestra'!$D$8:$D$42,ROW('03.Muestra'!$F$8:$F$42)-MIN(ROW('03.Muestra'!$D$8:$D$42))+1,""),ROW()-588)),"")</f>
        <v>https://www.comunidad.madrid/hospital/atencionprimaria/videoteca</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https://www.comunidad.madrid/hospital/atencionprimaria/declaracion-accesibilidad</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 - Privacidad</v>
      </c>
      <c r="C596" s="85" t="str" cm="1">
        <f t="array" ref="C596">IFERROR(INDEX('03.Muestra'!$F$8:$F$42,SMALL(IF("Página Web"='03.Muestra'!$D$8:$D$42,ROW('03.Muestra'!$F$8:$F$42)-MIN(ROW('03.Muestra'!$D$8:$D$42))+1,""),ROW()-588)),"")</f>
        <v>https://www.comunidad.madrid/hospital/atencionprimaria/aviso-legal-privacidad</v>
      </c>
      <c r="D596" s="99" t="s">
        <v>104</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https://www.comunidad.madrid/hospital/atencionprimaria/sitemap</v>
      </c>
      <c r="D597" s="99" t="s">
        <v>104</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ref="D598:D623" si="31">IF(AND(B598&lt;&gt;"",C598&lt;&gt;""),"N/T","")</f>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https://www.comunidad.madrid/hospital/atencionprimaria/home</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https://www.comunidad.madrid/hospital/atencionprimaria/ciudadanos</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9</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https://www.comunidad.madrid/hospital/atencionprimaria/profesionales</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https://www.comunidad.madrid/hospital/atencionprimaria/comunicación</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https://www.comunidad.madrid/hospital/atencionprimaria/nosotros</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Videoteca</v>
      </c>
      <c r="C632" s="85" t="str" cm="1">
        <f t="array" ref="C632">IFERROR(INDEX('03.Muestra'!$F$8:$F$42,SMALL(IF("Página Web"='03.Muestra'!$D$8:$D$42,ROW('03.Muestra'!$F$8:$F$42)-MIN(ROW('03.Muestra'!$D$8:$D$42))+1,""),ROW()-626)),"")</f>
        <v>https://www.comunidad.madrid/hospital/atencionprimaria/videoteca</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https://www.comunidad.madrid/hospital/atencionprimaria/declaracion-accesibilidad</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 - Privacidad</v>
      </c>
      <c r="C634" s="85" t="str" cm="1">
        <f t="array" ref="C634">IFERROR(INDEX('03.Muestra'!$F$8:$F$42,SMALL(IF("Página Web"='03.Muestra'!$D$8:$D$42,ROW('03.Muestra'!$F$8:$F$42)-MIN(ROW('03.Muestra'!$D$8:$D$42))+1,""),ROW()-626)),"")</f>
        <v>https://www.comunidad.madrid/hospital/atencionprimaria/aviso-legal-privacidad</v>
      </c>
      <c r="D634" s="99" t="s">
        <v>104</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https://www.comunidad.madrid/hospital/atencionprimaria/sitemap</v>
      </c>
      <c r="D635" s="99" t="s">
        <v>104</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ref="D636:D661" si="33">IF(AND(B636&lt;&gt;"",C636&lt;&gt;""),"N/T","")</f>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https://www.comunidad.madrid/hospital/atencionprimaria/home</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https://www.comunidad.madrid/hospital/atencionprimaria/ciudadanos</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9</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https://www.comunidad.madrid/hospital/atencionprimaria/profesionales</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https://www.comunidad.madrid/hospital/atencionprimaria/comunicación</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https://www.comunidad.madrid/hospital/atencionprimaria/nosotros</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Videoteca</v>
      </c>
      <c r="C670" s="85" t="str" cm="1">
        <f t="array" ref="C670">IFERROR(INDEX('03.Muestra'!$F$8:$F$42,SMALL(IF("Página Web"='03.Muestra'!$D$8:$D$42,ROW('03.Muestra'!$F$8:$F$42)-MIN(ROW('03.Muestra'!$D$8:$D$42))+1,""),ROW()-664)),"")</f>
        <v>https://www.comunidad.madrid/hospital/atencionprimaria/videoteca</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https://www.comunidad.madrid/hospital/atencionprimaria/declaracion-accesibilidad</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 - Privacidad</v>
      </c>
      <c r="C672" s="85" t="str" cm="1">
        <f t="array" ref="C672">IFERROR(INDEX('03.Muestra'!$F$8:$F$42,SMALL(IF("Página Web"='03.Muestra'!$D$8:$D$42,ROW('03.Muestra'!$F$8:$F$42)-MIN(ROW('03.Muestra'!$D$8:$D$42))+1,""),ROW()-664)),"")</f>
        <v>https://www.comunidad.madrid/hospital/atencionprimaria/aviso-legal-privacidad</v>
      </c>
      <c r="D672" s="99" t="s">
        <v>104</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https://www.comunidad.madrid/hospital/atencionprimaria/sitemap</v>
      </c>
      <c r="D673" s="99" t="s">
        <v>104</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https://www.comunidad.madrid/hospital/atencionprimaria/home</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https://www.comunidad.madrid/hospital/atencionprimaria/ciudadanos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9</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https://www.comunidad.madrid/hospital/atencionprimaria/profesionales</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https://www.comunidad.madrid/hospital/atencionprimaria/comunicación</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https://www.comunidad.madrid/hospital/atencionprimaria/nosotros</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Videoteca</v>
      </c>
      <c r="C708" s="85" t="str" cm="1">
        <f t="array" ref="C708">IFERROR(INDEX('03.Muestra'!$F$8:$F$42,SMALL(IF("Página Web"='03.Muestra'!$D$8:$D$42,ROW('03.Muestra'!$F$8:$F$42)-MIN(ROW('03.Muestra'!$D$8:$D$42))+1,""),ROW()-702)),"")</f>
        <v>https://www.comunidad.madrid/hospital/atencionprimaria/videoteca</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https://www.comunidad.madrid/hospital/atencionprimaria/declaracion-accesibilidad</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 - Privacidad</v>
      </c>
      <c r="C710" s="85" t="str" cm="1">
        <f t="array" ref="C710">IFERROR(INDEX('03.Muestra'!$F$8:$F$42,SMALL(IF("Página Web"='03.Muestra'!$D$8:$D$42,ROW('03.Muestra'!$F$8:$F$42)-MIN(ROW('03.Muestra'!$D$8:$D$42))+1,""),ROW()-702)),"")</f>
        <v>https://www.comunidad.madrid/hospital/atencionprimaria/aviso-legal-privacidad</v>
      </c>
      <c r="D710" s="99" t="s">
        <v>104</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https://www.comunidad.madrid/hospital/atencionprimaria/sitemap</v>
      </c>
      <c r="D711" s="99" t="s">
        <v>104</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ref="D712:D737" si="37">IF(AND(B712&lt;&gt;"",C712&lt;&gt;""),"N/T","")</f>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A303" zoomScale="85" zoomScaleNormal="85" workbookViewId="0">
      <selection activeCell="D323" sqref="D323:D331"/>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11</v>
      </c>
      <c r="H12" s="42">
        <f ca="1">IF(($G$15+$K$15)=0,0,G12/($G$15+$K$15))</f>
        <v>0.13580246913580246</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70</v>
      </c>
      <c r="H14" s="42">
        <f ca="1">IF(($G$15+$K$15)=0,0,G14/($G$15+$K$15))</f>
        <v>0.86419753086419748</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81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https://www.comunidad.madrid/hospital/atencionprimaria/home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https://www.comunidad.madrid/hospital/atencionprimaria/ciudadanos</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2</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https://www.comunidad.madrid/hospital/atencionprimaria/profesionales</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https://www.comunidad.madrid/hospital/atencionprimaria/comunicación</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https://www.comunidad.madrid/hospital/atencionprimaria/nosotros</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Videoteca</v>
      </c>
      <c r="C24" s="85" t="str" cm="1">
        <f t="array" ref="C24">IFERROR(INDEX('03.Muestra'!$F$8:$F$42,SMALL(IF("Página Web"='03.Muestra'!$D$8:$D$42,ROW('03.Muestra'!$F$8:$F$42)-MIN(ROW('03.Muestra'!$D$8:$D$42))+1,""),ROW()-18)),"")</f>
        <v>https://www.comunidad.madrid/hospital/atencionprimaria/videoteca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https://www.comunidad.madrid/hospital/atencionprimaria/declaracion-accesibilidad</v>
      </c>
      <c r="D25" s="99" t="s">
        <v>104</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 - Privacidad</v>
      </c>
      <c r="C26" s="85" t="str" cm="1">
        <f t="array" ref="C26">IFERROR(INDEX('03.Muestra'!$F$8:$F$42,SMALL(IF("Página Web"='03.Muestra'!$D$8:$D$42,ROW('03.Muestra'!$F$8:$F$42)-MIN(ROW('03.Muestra'!$D$8:$D$42))+1,""),ROW()-18)),"")</f>
        <v>https://www.comunidad.madrid/hospital/atencionprimaria/aviso-legal-privacidad</v>
      </c>
      <c r="D26" s="99" t="s">
        <v>104</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https://www.comunidad.madrid/hospital/atencionprimaria/sitemap</v>
      </c>
      <c r="D27" s="99" t="s">
        <v>104</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https://www.comunidad.madrid/hospital/atencionprimaria/home</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https://www.comunidad.madrid/hospital/atencionprimaria/ciudadanos</v>
      </c>
      <c r="D58" s="99" t="s">
        <v>92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9</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https://www.comunidad.madrid/hospital/atencionprimaria/profesionales</v>
      </c>
      <c r="D59" s="99" t="s">
        <v>92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https://www.comunidad.madrid/hospital/atencionprimaria/comunicación</v>
      </c>
      <c r="D60" s="99" t="s">
        <v>92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https://www.comunidad.madrid/hospital/atencionprimaria/nosotros</v>
      </c>
      <c r="D61" s="99" t="s">
        <v>92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Videoteca</v>
      </c>
      <c r="C62" s="85" t="str" cm="1">
        <f t="array" ref="C62">IFERROR(INDEX('03.Muestra'!$F$8:$F$42,SMALL(IF("Página Web"='03.Muestra'!$D$8:$D$42,ROW('03.Muestra'!$F$8:$F$42)-MIN(ROW('03.Muestra'!$D$8:$D$42))+1,""),ROW()-56)),"")</f>
        <v>https://www.comunidad.madrid/hospital/atencionprimaria/videoteca</v>
      </c>
      <c r="D62" s="99" t="s">
        <v>92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https://www.comunidad.madrid/hospital/atencionprimaria/declaracion-accesibilidad</v>
      </c>
      <c r="D63" s="99" t="s">
        <v>92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 - Privacidad</v>
      </c>
      <c r="C64" s="85" t="str" cm="1">
        <f t="array" ref="C64">IFERROR(INDEX('03.Muestra'!$F$8:$F$42,SMALL(IF("Página Web"='03.Muestra'!$D$8:$D$42,ROW('03.Muestra'!$F$8:$F$42)-MIN(ROW('03.Muestra'!$D$8:$D$42))+1,""),ROW()-56)),"")</f>
        <v>https://www.comunidad.madrid/hospital/atencionprimaria/aviso-legal-privacidad</v>
      </c>
      <c r="D64" s="99" t="s">
        <v>92</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https://www.comunidad.madrid/hospital/atencionprimaria/sitemap</v>
      </c>
      <c r="D65" s="99" t="s">
        <v>92</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https://www.comunidad.madrid/hospital/atencionprimaria/home</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https://www.comunidad.madrid/hospital/atencionprimaria/ciudadanos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9</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https://www.comunidad.madrid/hospital/atencionprimaria/profesionales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https://www.comunidad.madrid/hospital/atencionprimaria/comunicación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https://www.comunidad.madrid/hospital/atencionprimaria/nosotros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Videoteca</v>
      </c>
      <c r="C100" s="85" t="str" cm="1">
        <f t="array" ref="C100">IFERROR(INDEX('03.Muestra'!$F$8:$F$42,SMALL(IF("Página Web"='03.Muestra'!$D$8:$D$42,ROW('03.Muestra'!$F$8:$F$42)-MIN(ROW('03.Muestra'!$D$8:$D$42))+1,""),ROW()-94)),"")</f>
        <v>https://www.comunidad.madrid/hospital/atencionprimaria/videoteca</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https://www.comunidad.madrid/hospital/atencionprimaria/declaracion-accesibilidad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 - Privacidad</v>
      </c>
      <c r="C102" s="85" t="str" cm="1">
        <f t="array" ref="C102">IFERROR(INDEX('03.Muestra'!$F$8:$F$42,SMALL(IF("Página Web"='03.Muestra'!$D$8:$D$42,ROW('03.Muestra'!$F$8:$F$42)-MIN(ROW('03.Muestra'!$D$8:$D$42))+1,""),ROW()-94)),"")</f>
        <v>https://www.comunidad.madrid/hospital/atencionprimaria/aviso-legal-privacidad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https://www.comunidad.madrid/hospital/atencionprimaria/sitemap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https://www.comunidad.madrid/hospital/atencionprimaria/home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https://www.comunidad.madrid/hospital/atencionprimaria/ciudadanos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https://www.comunidad.madrid/hospital/atencionprimaria/profesionales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https://www.comunidad.madrid/hospital/atencionprimaria/comunicación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https://www.comunidad.madrid/hospital/atencionprimaria/nosotros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Videoteca</v>
      </c>
      <c r="C138" s="85" t="str" cm="1">
        <f t="array" ref="C138">IFERROR(INDEX('03.Muestra'!$F$8:$F$42,SMALL(IF("Página Web"='03.Muestra'!$D$8:$D$42,ROW('03.Muestra'!$F$8:$F$42)-MIN(ROW('03.Muestra'!$D$8:$D$42))+1,""),ROW()-132)),"")</f>
        <v>https://www.comunidad.madrid/hospital/atencionprimaria/videoteca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https://www.comunidad.madrid/hospital/atencionprimaria/declaracion-accesibilidad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 - Privacidad</v>
      </c>
      <c r="C140" s="85" t="str" cm="1">
        <f t="array" ref="C140">IFERROR(INDEX('03.Muestra'!$F$8:$F$42,SMALL(IF("Página Web"='03.Muestra'!$D$8:$D$42,ROW('03.Muestra'!$F$8:$F$42)-MIN(ROW('03.Muestra'!$D$8:$D$42))+1,""),ROW()-132)),"")</f>
        <v>https://www.comunidad.madrid/hospital/atencionprimaria/aviso-legal-privacidad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https://www.comunidad.madrid/hospital/atencionprimaria/sitemap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https://www.comunidad.madrid/hospital/atencionprimaria/home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https://www.comunidad.madrid/hospital/atencionprimaria/ciudadanos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https://www.comunidad.madrid/hospital/atencionprimaria/profesionales</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https://www.comunidad.madrid/hospital/atencionprimaria/comunicación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https://www.comunidad.madrid/hospital/atencionprimaria/nosotros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Videoteca</v>
      </c>
      <c r="C176" s="85" t="str" cm="1">
        <f t="array" ref="C176">IFERROR(INDEX('03.Muestra'!$F$8:$F$42,SMALL(IF("Página Web"='03.Muestra'!$D$8:$D$42,ROW('03.Muestra'!$F$8:$F$42)-MIN(ROW('03.Muestra'!$D$8:$D$42))+1,""),ROW()-170)),"")</f>
        <v>https://www.comunidad.madrid/hospital/atencionprimaria/videoteca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https://www.comunidad.madrid/hospital/atencionprimaria/declaracion-accesibilidad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 - Privacidad</v>
      </c>
      <c r="C178" s="85" t="str" cm="1">
        <f t="array" ref="C178">IFERROR(INDEX('03.Muestra'!$F$8:$F$42,SMALL(IF("Página Web"='03.Muestra'!$D$8:$D$42,ROW('03.Muestra'!$F$8:$F$42)-MIN(ROW('03.Muestra'!$D$8:$D$42))+1,""),ROW()-170)),"")</f>
        <v>https://www.comunidad.madrid/hospital/atencionprimaria/aviso-legal-privacidad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https://www.comunidad.madrid/hospital/atencionprimaria/sitemap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https://www.comunidad.madrid/hospital/atencionprimaria/home</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https://www.comunidad.madrid/hospital/atencionprimaria/ciudadanos</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9</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https://www.comunidad.madrid/hospital/atencionprimaria/profesionales</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https://www.comunidad.madrid/hospital/atencionprimaria/comunicación</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https://www.comunidad.madrid/hospital/atencionprimaria/nosotros</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Videoteca</v>
      </c>
      <c r="C214" s="85" t="str" cm="1">
        <f t="array" ref="C214">IFERROR(INDEX('03.Muestra'!$F$8:$F$42,SMALL(IF("Página Web"='03.Muestra'!$D$8:$D$42,ROW('03.Muestra'!$F$8:$F$42)-MIN(ROW('03.Muestra'!$D$8:$D$42))+1,""),ROW()-208)),"")</f>
        <v>https://www.comunidad.madrid/hospital/atencionprimaria/videoteca</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https://www.comunidad.madrid/hospital/atencionprimaria/declaracion-accesibilidad</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 - Privacidad</v>
      </c>
      <c r="C216" s="85" t="str" cm="1">
        <f t="array" ref="C216">IFERROR(INDEX('03.Muestra'!$F$8:$F$42,SMALL(IF("Página Web"='03.Muestra'!$D$8:$D$42,ROW('03.Muestra'!$F$8:$F$42)-MIN(ROW('03.Muestra'!$D$8:$D$42))+1,""),ROW()-208)),"")</f>
        <v>https://www.comunidad.madrid/hospital/atencionprimaria/aviso-legal-privacidad</v>
      </c>
      <c r="D216" s="99" t="s">
        <v>104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https://www.comunidad.madrid/hospital/atencionprimaria/sitemap</v>
      </c>
      <c r="D217" s="99" t="s">
        <v>104</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https://www.comunidad.madrid/hospital/atencionprimaria/home</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https://www.comunidad.madrid/hospital/atencionprimaria/ciudadanos</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9</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https://www.comunidad.madrid/hospital/atencionprimaria/profesionales</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https://www.comunidad.madrid/hospital/atencionprimaria/comunicación</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https://www.comunidad.madrid/hospital/atencionprimaria/nosotros</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Videoteca</v>
      </c>
      <c r="C252" s="85" t="str" cm="1">
        <f t="array" ref="C252">IFERROR(INDEX('03.Muestra'!$F$8:$F$42,SMALL(IF("Página Web"='03.Muestra'!$D$8:$D$42,ROW('03.Muestra'!$F$8:$F$42)-MIN(ROW('03.Muestra'!$D$8:$D$42))+1,""),ROW()-246)),"")</f>
        <v>https://www.comunidad.madrid/hospital/atencionprimaria/videoteca</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https://www.comunidad.madrid/hospital/atencionprimaria/declaracion-accesibilidad</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 - Privacidad</v>
      </c>
      <c r="C254" s="85" t="str" cm="1">
        <f t="array" ref="C254">IFERROR(INDEX('03.Muestra'!$F$8:$F$42,SMALL(IF("Página Web"='03.Muestra'!$D$8:$D$42,ROW('03.Muestra'!$F$8:$F$42)-MIN(ROW('03.Muestra'!$D$8:$D$42))+1,""),ROW()-246)),"")</f>
        <v>https://www.comunidad.madrid/hospital/atencionprimaria/aviso-legal-privacidad</v>
      </c>
      <c r="D254" s="99" t="s">
        <v>104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https://www.comunidad.madrid/hospital/atencionprimaria/sitemap</v>
      </c>
      <c r="D255" s="99" t="s">
        <v>104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https://www.comunidad.madrid/hospital/atencionprimaria/home</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https://www.comunidad.madrid/hospital/atencionprimaria/ciudadanos</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9</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https://www.comunidad.madrid/hospital/atencionprimaria/profesionales</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https://www.comunidad.madrid/hospital/atencionprimaria/comunicación</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https://www.comunidad.madrid/hospital/atencionprimaria/nosotros</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Videoteca</v>
      </c>
      <c r="C290" s="85" t="str" cm="1">
        <f t="array" ref="C290">IFERROR(INDEX('03.Muestra'!$F$8:$F$42,SMALL(IF("Página Web"='03.Muestra'!$D$8:$D$42,ROW('03.Muestra'!$F$8:$F$42)-MIN(ROW('03.Muestra'!$D$8:$D$42))+1,""),ROW()-284)),"")</f>
        <v>https://www.comunidad.madrid/hospital/atencionprimaria/videoteca</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https://www.comunidad.madrid/hospital/atencionprimaria/declaracion-accesibilidad</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 - Privacidad</v>
      </c>
      <c r="C292" s="85" t="str" cm="1">
        <f t="array" ref="C292">IFERROR(INDEX('03.Muestra'!$F$8:$F$42,SMALL(IF("Página Web"='03.Muestra'!$D$8:$D$42,ROW('03.Muestra'!$F$8:$F$42)-MIN(ROW('03.Muestra'!$D$8:$D$42))+1,""),ROW()-284)),"")</f>
        <v>https://www.comunidad.madrid/hospital/atencionprimaria/aviso-legal-privacidad</v>
      </c>
      <c r="D292" s="99" t="s">
        <v>104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https://www.comunidad.madrid/hospital/atencionprimaria/sitemap</v>
      </c>
      <c r="D293" s="99" t="s">
        <v>104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https://www.comunidad.madrid/hospital/atencionprimaria/home</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https://www.comunidad.madrid/hospital/atencionprimaria/ciudadanos</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9</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https://www.comunidad.madrid/hospital/atencionprimaria/profesionales</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https://www.comunidad.madrid/hospital/atencionprimaria/comunicación</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https://www.comunidad.madrid/hospital/atencionprimaria/nosotros</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Videoteca</v>
      </c>
      <c r="C328" s="85" t="str" cm="1">
        <f t="array" ref="C328">IFERROR(INDEX('03.Muestra'!$F$8:$F$42,SMALL(IF("Página Web"='03.Muestra'!$D$8:$D$42,ROW('03.Muestra'!$F$8:$F$42)-MIN(ROW('03.Muestra'!$D$8:$D$42))+1,""),ROW()-322)),"")</f>
        <v>https://www.comunidad.madrid/hospital/atencionprimaria/videoteca</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https://www.comunidad.madrid/hospital/atencionprimaria/declaracion-accesibilidad</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 - Privacidad</v>
      </c>
      <c r="C330" s="85" t="str" cm="1">
        <f t="array" ref="C330">IFERROR(INDEX('03.Muestra'!$F$8:$F$42,SMALL(IF("Página Web"='03.Muestra'!$D$8:$D$42,ROW('03.Muestra'!$F$8:$F$42)-MIN(ROW('03.Muestra'!$D$8:$D$42))+1,""),ROW()-322)),"")</f>
        <v>https://www.comunidad.madrid/hospital/atencionprimaria/aviso-legal-privacidad</v>
      </c>
      <c r="D330" s="99" t="s">
        <v>104</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https://www.comunidad.madrid/hospital/atencionprimaria/sitemap</v>
      </c>
      <c r="D331" s="99" t="s">
        <v>104</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867" zoomScale="90" zoomScaleNormal="90" workbookViewId="0">
      <selection activeCell="D1881" sqref="D1881:D1889"/>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204</v>
      </c>
      <c r="H12" s="42">
        <f ca="1">IF(($G$15+$K$15)=0,0,G12/($G$15+$K$15))</f>
        <v>0.45333333333333331</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87</v>
      </c>
      <c r="H13" s="42">
        <f ca="1">IF(($G$15+$K$15)=0,0,G13/($G$15+$K$15))</f>
        <v>0.19333333333333333</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159</v>
      </c>
      <c r="H14" s="42">
        <f ca="1">IF(($G$15+$K$15)=0,0,G14/($G$15+$K$15))</f>
        <v>0.35333333333333333</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https://www.comunidad.madrid/hospital/atencionprimaria/home</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Ciudadanos</v>
      </c>
      <c r="C20" s="85" t="str" cm="1">
        <f t="array" ref="C20">IFERROR(INDEX('03.Muestra'!$F$8:$F$42,SMALL(IF("Página Web"='03.Muestra'!$D$8:$D$42,ROW('03.Muestra'!$F$8:$F$42)-MIN(ROW('03.Muestra'!$D$8:$D$42))+1,""),ROW()-18)),"")</f>
        <v>https://www.comunidad.madrid/hospital/atencionprimaria/ciudadanos</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9</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Profesionales</v>
      </c>
      <c r="C21" s="85" t="str" cm="1">
        <f t="array" ref="C21">IFERROR(INDEX('03.Muestra'!$F$8:$F$42,SMALL(IF("Página Web"='03.Muestra'!$D$8:$D$42,ROW('03.Muestra'!$F$8:$F$42)-MIN(ROW('03.Muestra'!$D$8:$D$42))+1,""),ROW()-18)),"")</f>
        <v>https://www.comunidad.madrid/hospital/atencionprimaria/profesionales</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Comunicación</v>
      </c>
      <c r="C22" s="85" t="str" cm="1">
        <f t="array" ref="C22">IFERROR(INDEX('03.Muestra'!$F$8:$F$42,SMALL(IF("Página Web"='03.Muestra'!$D$8:$D$42,ROW('03.Muestra'!$F$8:$F$42)-MIN(ROW('03.Muestra'!$D$8:$D$42))+1,""),ROW()-18)),"")</f>
        <v>https://www.comunidad.madrid/hospital/atencionprimaria/comunicación</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Nosotros</v>
      </c>
      <c r="C23" s="85" t="str" cm="1">
        <f t="array" ref="C23">IFERROR(INDEX('03.Muestra'!$F$8:$F$42,SMALL(IF("Página Web"='03.Muestra'!$D$8:$D$42,ROW('03.Muestra'!$F$8:$F$42)-MIN(ROW('03.Muestra'!$D$8:$D$42))+1,""),ROW()-18)),"")</f>
        <v>https://www.comunidad.madrid/hospital/atencionprimaria/nosotros</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Videoteca</v>
      </c>
      <c r="C24" s="85" t="str" cm="1">
        <f t="array" ref="C24">IFERROR(INDEX('03.Muestra'!$F$8:$F$42,SMALL(IF("Página Web"='03.Muestra'!$D$8:$D$42,ROW('03.Muestra'!$F$8:$F$42)-MIN(ROW('03.Muestra'!$D$8:$D$42))+1,""),ROW()-18)),"")</f>
        <v>https://www.comunidad.madrid/hospital/atencionprimaria/videoteca</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Accesibilidad</v>
      </c>
      <c r="C25" s="85" t="str" cm="1">
        <f t="array" ref="C25">IFERROR(INDEX('03.Muestra'!$F$8:$F$42,SMALL(IF("Página Web"='03.Muestra'!$D$8:$D$42,ROW('03.Muestra'!$F$8:$F$42)-MIN(ROW('03.Muestra'!$D$8:$D$42))+1,""),ROW()-18)),"")</f>
        <v>https://www.comunidad.madrid/hospital/atencionprimaria/declaracion-accesibilidad</v>
      </c>
      <c r="D25" s="99" t="s">
        <v>92</v>
      </c>
      <c r="E25" s="79" t="str">
        <f t="shared" si="0"/>
        <v/>
      </c>
      <c r="F25" s="18"/>
      <c r="G25" s="18"/>
      <c r="H25" s="18"/>
      <c r="I25" s="18"/>
      <c r="J25" s="18"/>
      <c r="L25" s="92"/>
      <c r="AD25" s="18"/>
    </row>
    <row r="26" spans="1:30" ht="12" customHeight="1">
      <c r="A26" s="39" cm="1">
        <f t="array" ref="A26">IFERROR(INDEX('03.Muestra'!$B$8:$B$42,SMALL(IF("Página Web"='03.Muestra'!$D$8:$D$42,ROW('03.Muestra'!$B$8:$B$42)-MIN(ROW('03.Muestra'!$D$8:$D$42))+1,""),ROW()-18)),"")</f>
        <v>8</v>
      </c>
      <c r="B26" s="85" t="str" cm="1">
        <f t="array" ref="B26">IFERROR(INDEX('03.Muestra'!$C$8:$C$42,SMALL(IF("Página Web"='03.Muestra'!$D$8:$D$42,ROW('03.Muestra'!$C$8:$C$42)-MIN(ROW('03.Muestra'!$D$8:$D$42))+1,""),ROW()-18)),"")</f>
        <v>Aviso Legal - Privacidad</v>
      </c>
      <c r="C26" s="85" t="str" cm="1">
        <f t="array" ref="C26">IFERROR(INDEX('03.Muestra'!$F$8:$F$42,SMALL(IF("Página Web"='03.Muestra'!$D$8:$D$42,ROW('03.Muestra'!$F$8:$F$42)-MIN(ROW('03.Muestra'!$D$8:$D$42))+1,""),ROW()-18)),"")</f>
        <v>https://www.comunidad.madrid/hospital/atencionprimaria/aviso-legal-privacidad</v>
      </c>
      <c r="D26" s="99" t="s">
        <v>92</v>
      </c>
      <c r="E26" s="79" t="str">
        <f t="shared" si="0"/>
        <v/>
      </c>
      <c r="F26" s="18"/>
      <c r="G26" s="18"/>
      <c r="H26" s="18"/>
      <c r="I26" s="18"/>
      <c r="J26" s="18"/>
      <c r="K26" s="18"/>
      <c r="L26" s="18"/>
      <c r="AD26" s="18"/>
    </row>
    <row r="27" spans="1:30" ht="12" customHeight="1">
      <c r="A27" s="39" cm="1">
        <f t="array" ref="A27">IFERROR(INDEX('03.Muestra'!$B$8:$B$42,SMALL(IF("Página Web"='03.Muestra'!$D$8:$D$42,ROW('03.Muestra'!$B$8:$B$42)-MIN(ROW('03.Muestra'!$D$8:$D$42))+1,""),ROW()-18)),"")</f>
        <v>9</v>
      </c>
      <c r="B27" s="85" t="str" cm="1">
        <f t="array" ref="B27">IFERROR(INDEX('03.Muestra'!$C$8:$C$42,SMALL(IF("Página Web"='03.Muestra'!$D$8:$D$42,ROW('03.Muestra'!$C$8:$C$42)-MIN(ROW('03.Muestra'!$D$8:$D$42))+1,""),ROW()-18)),"")</f>
        <v>Mapa Web</v>
      </c>
      <c r="C27" s="85" t="str" cm="1">
        <f t="array" ref="C27">IFERROR(INDEX('03.Muestra'!$F$8:$F$42,SMALL(IF("Página Web"='03.Muestra'!$D$8:$D$42,ROW('03.Muestra'!$F$8:$F$42)-MIN(ROW('03.Muestra'!$D$8:$D$42))+1,""),ROW()-18)),"")</f>
        <v>https://www.comunidad.madrid/hospital/atencionprimaria/sitemap</v>
      </c>
      <c r="D27" s="99" t="s">
        <v>92</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ref="D28:D53" si="1">IF(AND(B28&lt;&gt;"",C28&lt;&gt;""),"N/T","")</f>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https://www.comunidad.madrid/hospital/atencionprimaria/home</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Ciudadanos</v>
      </c>
      <c r="C58" s="85" t="str" cm="1">
        <f t="array" ref="C58">IFERROR(INDEX('03.Muestra'!$F$8:$F$42,SMALL(IF("Página Web"='03.Muestra'!$D$8:$D$42,ROW('03.Muestra'!$F$8:$F$42)-MIN(ROW('03.Muestra'!$D$8:$D$42))+1,""),ROW()-56)),"")</f>
        <v>https://www.comunidad.madrid/hospital/atencionprimaria/ciudadanos</v>
      </c>
      <c r="D58" s="99" t="s">
        <v>104</v>
      </c>
      <c r="E58" s="79" t="str">
        <f t="shared" si="2"/>
        <v/>
      </c>
      <c r="F58" s="91">
        <f ca="1">COUNTIF($D57:INDIRECT("$D" &amp;  SUM(ROW()-1,'03.Muestra'!$D$45)-1),F57)</f>
        <v>0</v>
      </c>
      <c r="G58" s="91">
        <f ca="1">COUNTIF($D57:INDIRECT("$D" &amp;  SUM(ROW()-1,'03.Muestra'!$D$45)-1),G57)</f>
        <v>0</v>
      </c>
      <c r="H58" s="91">
        <f ca="1">COUNTIF($D57:INDIRECT("$D" &amp;  SUM(ROW()-1,'03.Muestra'!$D$45)-1),H57)</f>
        <v>9</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Profesionales</v>
      </c>
      <c r="C59" s="85" t="str" cm="1">
        <f t="array" ref="C59">IFERROR(INDEX('03.Muestra'!$F$8:$F$42,SMALL(IF("Página Web"='03.Muestra'!$D$8:$D$42,ROW('03.Muestra'!$F$8:$F$42)-MIN(ROW('03.Muestra'!$D$8:$D$42))+1,""),ROW()-56)),"")</f>
        <v>https://www.comunidad.madrid/hospital/atencionprimaria/profesionales</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Comunicación</v>
      </c>
      <c r="C60" s="85" t="str" cm="1">
        <f t="array" ref="C60">IFERROR(INDEX('03.Muestra'!$F$8:$F$42,SMALL(IF("Página Web"='03.Muestra'!$D$8:$D$42,ROW('03.Muestra'!$F$8:$F$42)-MIN(ROW('03.Muestra'!$D$8:$D$42))+1,""),ROW()-56)),"")</f>
        <v>https://www.comunidad.madrid/hospital/atencionprimaria/comunicación</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Nosotros</v>
      </c>
      <c r="C61" s="85" t="str" cm="1">
        <f t="array" ref="C61">IFERROR(INDEX('03.Muestra'!$F$8:$F$42,SMALL(IF("Página Web"='03.Muestra'!$D$8:$D$42,ROW('03.Muestra'!$F$8:$F$42)-MIN(ROW('03.Muestra'!$D$8:$D$42))+1,""),ROW()-56)),"")</f>
        <v>https://www.comunidad.madrid/hospital/atencionprimaria/nosotros</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Videoteca</v>
      </c>
      <c r="C62" s="85" t="str" cm="1">
        <f t="array" ref="C62">IFERROR(INDEX('03.Muestra'!$F$8:$F$42,SMALL(IF("Página Web"='03.Muestra'!$D$8:$D$42,ROW('03.Muestra'!$F$8:$F$42)-MIN(ROW('03.Muestra'!$D$8:$D$42))+1,""),ROW()-56)),"")</f>
        <v>https://www.comunidad.madrid/hospital/atencionprimaria/videoteca</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Accesibilidad</v>
      </c>
      <c r="C63" s="85" t="str" cm="1">
        <f t="array" ref="C63">IFERROR(INDEX('03.Muestra'!$F$8:$F$42,SMALL(IF("Página Web"='03.Muestra'!$D$8:$D$42,ROW('03.Muestra'!$F$8:$F$42)-MIN(ROW('03.Muestra'!$D$8:$D$42))+1,""),ROW()-56)),"")</f>
        <v>https://www.comunidad.madrid/hospital/atencionprimaria/declaracion-accesibilidad</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cm="1">
        <f t="array" ref="A64">IFERROR(INDEX('03.Muestra'!$B$8:$B$42,SMALL(IF("Página Web"='03.Muestra'!$D$8:$D$42,ROW('03.Muestra'!$B$8:$B$42)-MIN(ROW('03.Muestra'!$D$8:$D$42))+1,""),ROW()-56)),"")</f>
        <v>8</v>
      </c>
      <c r="B64" s="85" t="str" cm="1">
        <f t="array" ref="B64">IFERROR(INDEX('03.Muestra'!$C$8:$C$42,SMALL(IF("Página Web"='03.Muestra'!$D$8:$D$42,ROW('03.Muestra'!$C$8:$C$42)-MIN(ROW('03.Muestra'!$D$8:$D$42))+1,""),ROW()-56)),"")</f>
        <v>Aviso Legal - Privacidad</v>
      </c>
      <c r="C64" s="85" t="str" cm="1">
        <f t="array" ref="C64">IFERROR(INDEX('03.Muestra'!$F$8:$F$42,SMALL(IF("Página Web"='03.Muestra'!$D$8:$D$42,ROW('03.Muestra'!$F$8:$F$42)-MIN(ROW('03.Muestra'!$D$8:$D$42))+1,""),ROW()-56)),"")</f>
        <v>https://www.comunidad.madrid/hospital/atencionprimaria/aviso-legal-privacidad</v>
      </c>
      <c r="D64" s="99" t="s">
        <v>104</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cm="1">
        <f t="array" ref="A65">IFERROR(INDEX('03.Muestra'!$B$8:$B$42,SMALL(IF("Página Web"='03.Muestra'!$D$8:$D$42,ROW('03.Muestra'!$B$8:$B$42)-MIN(ROW('03.Muestra'!$D$8:$D$42))+1,""),ROW()-56)),"")</f>
        <v>9</v>
      </c>
      <c r="B65" s="85" t="str" cm="1">
        <f t="array" ref="B65">IFERROR(INDEX('03.Muestra'!$C$8:$C$42,SMALL(IF("Página Web"='03.Muestra'!$D$8:$D$42,ROW('03.Muestra'!$C$8:$C$42)-MIN(ROW('03.Muestra'!$D$8:$D$42))+1,""),ROW()-56)),"")</f>
        <v>Mapa Web</v>
      </c>
      <c r="C65" s="85" t="str" cm="1">
        <f t="array" ref="C65">IFERROR(INDEX('03.Muestra'!$F$8:$F$42,SMALL(IF("Página Web"='03.Muestra'!$D$8:$D$42,ROW('03.Muestra'!$F$8:$F$42)-MIN(ROW('03.Muestra'!$D$8:$D$42))+1,""),ROW()-56)),"")</f>
        <v>https://www.comunidad.madrid/hospital/atencionprimaria/sitemap</v>
      </c>
      <c r="D65" s="99" t="s">
        <v>104</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ref="D66:D91" si="3">IF(AND(B66&lt;&gt;"",C66&lt;&gt;""),"N/T","")</f>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https://www.comunidad.madrid/hospital/atencionprimaria/home</v>
      </c>
      <c r="D95" s="99" t="s">
        <v>92</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Ciudadanos</v>
      </c>
      <c r="C96" s="85" t="str" cm="1">
        <f t="array" ref="C96">IFERROR(INDEX('03.Muestra'!$F$8:$F$42,SMALL(IF("Página Web"='03.Muestra'!$D$8:$D$42,ROW('03.Muestra'!$F$8:$F$42)-MIN(ROW('03.Muestra'!$D$8:$D$42))+1,""),ROW()-94)),"")</f>
        <v>https://www.comunidad.madrid/hospital/atencionprimaria/ciudadanos</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2</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Profesionales</v>
      </c>
      <c r="C97" s="85" t="str" cm="1">
        <f t="array" ref="C97">IFERROR(INDEX('03.Muestra'!$F$8:$F$42,SMALL(IF("Página Web"='03.Muestra'!$D$8:$D$42,ROW('03.Muestra'!$F$8:$F$42)-MIN(ROW('03.Muestra'!$D$8:$D$42))+1,""),ROW()-94)),"")</f>
        <v>https://www.comunidad.madrid/hospital/atencionprimaria/profesionales</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Comunicación</v>
      </c>
      <c r="C98" s="85" t="str" cm="1">
        <f t="array" ref="C98">IFERROR(INDEX('03.Muestra'!$F$8:$F$42,SMALL(IF("Página Web"='03.Muestra'!$D$8:$D$42,ROW('03.Muestra'!$F$8:$F$42)-MIN(ROW('03.Muestra'!$D$8:$D$42))+1,""),ROW()-94)),"")</f>
        <v>https://www.comunidad.madrid/hospital/atencionprimaria/comunicación</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Nosotros</v>
      </c>
      <c r="C99" s="85" t="str" cm="1">
        <f t="array" ref="C99">IFERROR(INDEX('03.Muestra'!$F$8:$F$42,SMALL(IF("Página Web"='03.Muestra'!$D$8:$D$42,ROW('03.Muestra'!$F$8:$F$42)-MIN(ROW('03.Muestra'!$D$8:$D$42))+1,""),ROW()-94)),"")</f>
        <v>https://www.comunidad.madrid/hospital/atencionprimaria/nosotros</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Videoteca</v>
      </c>
      <c r="C100" s="85" t="str" cm="1">
        <f t="array" ref="C100">IFERROR(INDEX('03.Muestra'!$F$8:$F$42,SMALL(IF("Página Web"='03.Muestra'!$D$8:$D$42,ROW('03.Muestra'!$F$8:$F$42)-MIN(ROW('03.Muestra'!$D$8:$D$42))+1,""),ROW()-94)),"")</f>
        <v>https://www.comunidad.madrid/hospital/atencionprimaria/videoteca</v>
      </c>
      <c r="D100" s="99" t="s">
        <v>92</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Accesibilidad</v>
      </c>
      <c r="C101" s="85" t="str" cm="1">
        <f t="array" ref="C101">IFERROR(INDEX('03.Muestra'!$F$8:$F$42,SMALL(IF("Página Web"='03.Muestra'!$D$8:$D$42,ROW('03.Muestra'!$F$8:$F$42)-MIN(ROW('03.Muestra'!$D$8:$D$42))+1,""),ROW()-94)),"")</f>
        <v>https://www.comunidad.madrid/hospital/atencionprimaria/declaracion-accesibilidad</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cm="1">
        <f t="array" ref="A102">IFERROR(INDEX('03.Muestra'!$B$8:$B$42,SMALL(IF("Página Web"='03.Muestra'!$D$8:$D$42,ROW('03.Muestra'!$B$8:$B$42)-MIN(ROW('03.Muestra'!$D$8:$D$42))+1,""),ROW()-94)),"")</f>
        <v>8</v>
      </c>
      <c r="B102" s="85" t="str" cm="1">
        <f t="array" ref="B102">IFERROR(INDEX('03.Muestra'!$C$8:$C$42,SMALL(IF("Página Web"='03.Muestra'!$D$8:$D$42,ROW('03.Muestra'!$C$8:$C$42)-MIN(ROW('03.Muestra'!$D$8:$D$42))+1,""),ROW()-94)),"")</f>
        <v>Aviso Legal - Privacidad</v>
      </c>
      <c r="C102" s="85" t="str" cm="1">
        <f t="array" ref="C102">IFERROR(INDEX('03.Muestra'!$F$8:$F$42,SMALL(IF("Página Web"='03.Muestra'!$D$8:$D$42,ROW('03.Muestra'!$F$8:$F$42)-MIN(ROW('03.Muestra'!$D$8:$D$42))+1,""),ROW()-94)),"")</f>
        <v>https://www.comunidad.madrid/hospital/atencionprimaria/aviso-legal-privacidad</v>
      </c>
      <c r="D102" s="99" t="s">
        <v>104</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cm="1">
        <f t="array" ref="A103">IFERROR(INDEX('03.Muestra'!$B$8:$B$42,SMALL(IF("Página Web"='03.Muestra'!$D$8:$D$42,ROW('03.Muestra'!$B$8:$B$42)-MIN(ROW('03.Muestra'!$D$8:$D$42))+1,""),ROW()-94)),"")</f>
        <v>9</v>
      </c>
      <c r="B103" s="85" t="str" cm="1">
        <f t="array" ref="B103">IFERROR(INDEX('03.Muestra'!$C$8:$C$42,SMALL(IF("Página Web"='03.Muestra'!$D$8:$D$42,ROW('03.Muestra'!$C$8:$C$42)-MIN(ROW('03.Muestra'!$D$8:$D$42))+1,""),ROW()-94)),"")</f>
        <v>Mapa Web</v>
      </c>
      <c r="C103" s="85" t="str" cm="1">
        <f t="array" ref="C103">IFERROR(INDEX('03.Muestra'!$F$8:$F$42,SMALL(IF("Página Web"='03.Muestra'!$D$8:$D$42,ROW('03.Muestra'!$F$8:$F$42)-MIN(ROW('03.Muestra'!$D$8:$D$42))+1,""),ROW()-94)),"")</f>
        <v>https://www.comunidad.madrid/hospital/atencionprimaria/sitemap</v>
      </c>
      <c r="D103" s="99" t="s">
        <v>104</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ref="D104:D129" si="5">IF(AND(B104&lt;&gt;"",C104&lt;&gt;""),"N/T","")</f>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https://www.comunidad.madrid/hospital/atencionprimaria/home</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Ciudadanos</v>
      </c>
      <c r="C134" s="85" t="str" cm="1">
        <f t="array" ref="C134">IFERROR(INDEX('03.Muestra'!$F$8:$F$42,SMALL(IF("Página Web"='03.Muestra'!$D$8:$D$42,ROW('03.Muestra'!$F$8:$F$42)-MIN(ROW('03.Muestra'!$D$8:$D$42))+1,""),ROW()-132)),"")</f>
        <v>https://www.comunidad.madrid/hospital/atencionprimaria/ciudadanos</v>
      </c>
      <c r="D134" s="99" t="s">
        <v>104</v>
      </c>
      <c r="E134" s="79" t="str">
        <f t="shared" si="6"/>
        <v/>
      </c>
      <c r="F134" s="91">
        <f ca="1">COUNTIF($D133:INDIRECT("$D" &amp;  SUM(ROW()-1,'03.Muestra'!$D$45)-1),F133)</f>
        <v>0</v>
      </c>
      <c r="G134" s="91">
        <f ca="1">COUNTIF($D133:INDIRECT("$D" &amp;  SUM(ROW()-1,'03.Muestra'!$D$45)-1),G133)</f>
        <v>0</v>
      </c>
      <c r="H134" s="91">
        <f ca="1">COUNTIF($D133:INDIRECT("$D" &amp;  SUM(ROW()-1,'03.Muestra'!$D$45)-1),H133)</f>
        <v>9</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Profesionales</v>
      </c>
      <c r="C135" s="85" t="str" cm="1">
        <f t="array" ref="C135">IFERROR(INDEX('03.Muestra'!$F$8:$F$42,SMALL(IF("Página Web"='03.Muestra'!$D$8:$D$42,ROW('03.Muestra'!$F$8:$F$42)-MIN(ROW('03.Muestra'!$D$8:$D$42))+1,""),ROW()-132)),"")</f>
        <v>https://www.comunidad.madrid/hospital/atencionprimaria/profesionales</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Comunicación</v>
      </c>
      <c r="C136" s="85" t="str" cm="1">
        <f t="array" ref="C136">IFERROR(INDEX('03.Muestra'!$F$8:$F$42,SMALL(IF("Página Web"='03.Muestra'!$D$8:$D$42,ROW('03.Muestra'!$F$8:$F$42)-MIN(ROW('03.Muestra'!$D$8:$D$42))+1,""),ROW()-132)),"")</f>
        <v>https://www.comunidad.madrid/hospital/atencionprimaria/comunicación</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Nosotros</v>
      </c>
      <c r="C137" s="85" t="str" cm="1">
        <f t="array" ref="C137">IFERROR(INDEX('03.Muestra'!$F$8:$F$42,SMALL(IF("Página Web"='03.Muestra'!$D$8:$D$42,ROW('03.Muestra'!$F$8:$F$42)-MIN(ROW('03.Muestra'!$D$8:$D$42))+1,""),ROW()-132)),"")</f>
        <v>https://www.comunidad.madrid/hospital/atencionprimaria/nosotros</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Videoteca</v>
      </c>
      <c r="C138" s="85" t="str" cm="1">
        <f t="array" ref="C138">IFERROR(INDEX('03.Muestra'!$F$8:$F$42,SMALL(IF("Página Web"='03.Muestra'!$D$8:$D$42,ROW('03.Muestra'!$F$8:$F$42)-MIN(ROW('03.Muestra'!$D$8:$D$42))+1,""),ROW()-132)),"")</f>
        <v>https://www.comunidad.madrid/hospital/atencionprimaria/videoteca</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Accesibilidad</v>
      </c>
      <c r="C139" s="85" t="str" cm="1">
        <f t="array" ref="C139">IFERROR(INDEX('03.Muestra'!$F$8:$F$42,SMALL(IF("Página Web"='03.Muestra'!$D$8:$D$42,ROW('03.Muestra'!$F$8:$F$42)-MIN(ROW('03.Muestra'!$D$8:$D$42))+1,""),ROW()-132)),"")</f>
        <v>https://www.comunidad.madrid/hospital/atencionprimaria/declaracion-accesibilidad</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cm="1">
        <f t="array" ref="A140">IFERROR(INDEX('03.Muestra'!$B$8:$B$42,SMALL(IF("Página Web"='03.Muestra'!$D$8:$D$42,ROW('03.Muestra'!$B$8:$B$42)-MIN(ROW('03.Muestra'!$D$8:$D$42))+1,""),ROW()-132)),"")</f>
        <v>8</v>
      </c>
      <c r="B140" s="85" t="str" cm="1">
        <f t="array" ref="B140">IFERROR(INDEX('03.Muestra'!$C$8:$C$42,SMALL(IF("Página Web"='03.Muestra'!$D$8:$D$42,ROW('03.Muestra'!$C$8:$C$42)-MIN(ROW('03.Muestra'!$D$8:$D$42))+1,""),ROW()-132)),"")</f>
        <v>Aviso Legal - Privacidad</v>
      </c>
      <c r="C140" s="85" t="str" cm="1">
        <f t="array" ref="C140">IFERROR(INDEX('03.Muestra'!$F$8:$F$42,SMALL(IF("Página Web"='03.Muestra'!$D$8:$D$42,ROW('03.Muestra'!$F$8:$F$42)-MIN(ROW('03.Muestra'!$D$8:$D$42))+1,""),ROW()-132)),"")</f>
        <v>https://www.comunidad.madrid/hospital/atencionprimaria/aviso-legal-privacidad</v>
      </c>
      <c r="D140" s="99" t="s">
        <v>104</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cm="1">
        <f t="array" ref="A141">IFERROR(INDEX('03.Muestra'!$B$8:$B$42,SMALL(IF("Página Web"='03.Muestra'!$D$8:$D$42,ROW('03.Muestra'!$B$8:$B$42)-MIN(ROW('03.Muestra'!$D$8:$D$42))+1,""),ROW()-132)),"")</f>
        <v>9</v>
      </c>
      <c r="B141" s="85" t="str" cm="1">
        <f t="array" ref="B141">IFERROR(INDEX('03.Muestra'!$C$8:$C$42,SMALL(IF("Página Web"='03.Muestra'!$D$8:$D$42,ROW('03.Muestra'!$C$8:$C$42)-MIN(ROW('03.Muestra'!$D$8:$D$42))+1,""),ROW()-132)),"")</f>
        <v>Mapa Web</v>
      </c>
      <c r="C141" s="85" t="str" cm="1">
        <f t="array" ref="C141">IFERROR(INDEX('03.Muestra'!$F$8:$F$42,SMALL(IF("Página Web"='03.Muestra'!$D$8:$D$42,ROW('03.Muestra'!$F$8:$F$42)-MIN(ROW('03.Muestra'!$D$8:$D$42))+1,""),ROW()-132)),"")</f>
        <v>https://www.comunidad.madrid/hospital/atencionprimaria/sitemap</v>
      </c>
      <c r="D141" s="99" t="s">
        <v>104</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ref="D142:D167" si="7">IF(AND(B142&lt;&gt;"",C142&lt;&gt;""),"N/T","")</f>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https://www.comunidad.madrid/hospital/atencionprimaria/home</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Ciudadanos</v>
      </c>
      <c r="C172" s="85" t="str" cm="1">
        <f t="array" ref="C172">IFERROR(INDEX('03.Muestra'!$F$8:$F$42,SMALL(IF("Página Web"='03.Muestra'!$D$8:$D$42,ROW('03.Muestra'!$F$8:$F$42)-MIN(ROW('03.Muestra'!$D$8:$D$42))+1,""),ROW()-170)),"")</f>
        <v>https://www.comunidad.madrid/hospital/atencionprimaria/ciudadanos</v>
      </c>
      <c r="D172" s="99" t="s">
        <v>104</v>
      </c>
      <c r="E172" s="79" t="str">
        <f t="shared" si="8"/>
        <v/>
      </c>
      <c r="F172" s="91">
        <f ca="1">COUNTIF($D171:INDIRECT("$D" &amp;  SUM(ROW()-1,'03.Muestra'!$D$45)-1),F171)</f>
        <v>0</v>
      </c>
      <c r="G172" s="91">
        <f ca="1">COUNTIF($D171:INDIRECT("$D" &amp;  SUM(ROW()-1,'03.Muestra'!$D$45)-1),G171)</f>
        <v>0</v>
      </c>
      <c r="H172" s="91">
        <f ca="1">COUNTIF($D171:INDIRECT("$D" &amp;  SUM(ROW()-1,'03.Muestra'!$D$45)-1),H171)</f>
        <v>9</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Profesionales</v>
      </c>
      <c r="C173" s="85" t="str" cm="1">
        <f t="array" ref="C173">IFERROR(INDEX('03.Muestra'!$F$8:$F$42,SMALL(IF("Página Web"='03.Muestra'!$D$8:$D$42,ROW('03.Muestra'!$F$8:$F$42)-MIN(ROW('03.Muestra'!$D$8:$D$42))+1,""),ROW()-170)),"")</f>
        <v>https://www.comunidad.madrid/hospital/atencionprimaria/profesionales</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Comunicación</v>
      </c>
      <c r="C174" s="85" t="str" cm="1">
        <f t="array" ref="C174">IFERROR(INDEX('03.Muestra'!$F$8:$F$42,SMALL(IF("Página Web"='03.Muestra'!$D$8:$D$42,ROW('03.Muestra'!$F$8:$F$42)-MIN(ROW('03.Muestra'!$D$8:$D$42))+1,""),ROW()-170)),"")</f>
        <v>https://www.comunidad.madrid/hospital/atencionprimaria/comunicación</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Nosotros</v>
      </c>
      <c r="C175" s="85" t="str" cm="1">
        <f t="array" ref="C175">IFERROR(INDEX('03.Muestra'!$F$8:$F$42,SMALL(IF("Página Web"='03.Muestra'!$D$8:$D$42,ROW('03.Muestra'!$F$8:$F$42)-MIN(ROW('03.Muestra'!$D$8:$D$42))+1,""),ROW()-170)),"")</f>
        <v>https://www.comunidad.madrid/hospital/atencionprimaria/nosotros</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Videoteca</v>
      </c>
      <c r="C176" s="85" t="str" cm="1">
        <f t="array" ref="C176">IFERROR(INDEX('03.Muestra'!$F$8:$F$42,SMALL(IF("Página Web"='03.Muestra'!$D$8:$D$42,ROW('03.Muestra'!$F$8:$F$42)-MIN(ROW('03.Muestra'!$D$8:$D$42))+1,""),ROW()-170)),"")</f>
        <v>https://www.comunidad.madrid/hospital/atencionprimaria/videoteca</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Accesibilidad</v>
      </c>
      <c r="C177" s="85" t="str" cm="1">
        <f t="array" ref="C177">IFERROR(INDEX('03.Muestra'!$F$8:$F$42,SMALL(IF("Página Web"='03.Muestra'!$D$8:$D$42,ROW('03.Muestra'!$F$8:$F$42)-MIN(ROW('03.Muestra'!$D$8:$D$42))+1,""),ROW()-170)),"")</f>
        <v>https://www.comunidad.madrid/hospital/atencionprimaria/declaracion-accesibilidad</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cm="1">
        <f t="array" ref="A178">IFERROR(INDEX('03.Muestra'!$B$8:$B$42,SMALL(IF("Página Web"='03.Muestra'!$D$8:$D$42,ROW('03.Muestra'!$B$8:$B$42)-MIN(ROW('03.Muestra'!$D$8:$D$42))+1,""),ROW()-170)),"")</f>
        <v>8</v>
      </c>
      <c r="B178" s="85" t="str" cm="1">
        <f t="array" ref="B178">IFERROR(INDEX('03.Muestra'!$C$8:$C$42,SMALL(IF("Página Web"='03.Muestra'!$D$8:$D$42,ROW('03.Muestra'!$C$8:$C$42)-MIN(ROW('03.Muestra'!$D$8:$D$42))+1,""),ROW()-170)),"")</f>
        <v>Aviso Legal - Privacidad</v>
      </c>
      <c r="C178" s="85" t="str" cm="1">
        <f t="array" ref="C178">IFERROR(INDEX('03.Muestra'!$F$8:$F$42,SMALL(IF("Página Web"='03.Muestra'!$D$8:$D$42,ROW('03.Muestra'!$F$8:$F$42)-MIN(ROW('03.Muestra'!$D$8:$D$42))+1,""),ROW()-170)),"")</f>
        <v>https://www.comunidad.madrid/hospital/atencionprimaria/aviso-legal-privacidad</v>
      </c>
      <c r="D178" s="99" t="s">
        <v>104</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cm="1">
        <f t="array" ref="A179">IFERROR(INDEX('03.Muestra'!$B$8:$B$42,SMALL(IF("Página Web"='03.Muestra'!$D$8:$D$42,ROW('03.Muestra'!$B$8:$B$42)-MIN(ROW('03.Muestra'!$D$8:$D$42))+1,""),ROW()-170)),"")</f>
        <v>9</v>
      </c>
      <c r="B179" s="85" t="str" cm="1">
        <f t="array" ref="B179">IFERROR(INDEX('03.Muestra'!$C$8:$C$42,SMALL(IF("Página Web"='03.Muestra'!$D$8:$D$42,ROW('03.Muestra'!$C$8:$C$42)-MIN(ROW('03.Muestra'!$D$8:$D$42))+1,""),ROW()-170)),"")</f>
        <v>Mapa Web</v>
      </c>
      <c r="C179" s="85" t="str" cm="1">
        <f t="array" ref="C179">IFERROR(INDEX('03.Muestra'!$F$8:$F$42,SMALL(IF("Página Web"='03.Muestra'!$D$8:$D$42,ROW('03.Muestra'!$F$8:$F$42)-MIN(ROW('03.Muestra'!$D$8:$D$42))+1,""),ROW()-170)),"")</f>
        <v>https://www.comunidad.madrid/hospital/atencionprimaria/sitemap</v>
      </c>
      <c r="D179" s="99" t="s">
        <v>104</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ref="D180:D205" si="9">IF(AND(B180&lt;&gt;"",C180&lt;&gt;""),"N/T","")</f>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https://www.comunidad.madrid/hospital/atencionprimaria/home</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Ciudadanos</v>
      </c>
      <c r="C210" s="85" t="str" cm="1">
        <f t="array" ref="C210">IFERROR(INDEX('03.Muestra'!$F$8:$F$42,SMALL(IF("Página Web"='03.Muestra'!$D$8:$D$42,ROW('03.Muestra'!$F$8:$F$42)-MIN(ROW('03.Muestra'!$D$8:$D$42))+1,""),ROW()-208)),"")</f>
        <v>https://www.comunidad.madrid/hospital/atencionprimaria/ciudadanos</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8</v>
      </c>
      <c r="J210" s="91">
        <f ca="1">COUNTIF($D209:INDIRECT("$D" &amp;  SUM(ROW()-1,'03.Muestra'!$D$45)-1),J209)</f>
        <v>1</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Profesionales</v>
      </c>
      <c r="C211" s="85" t="str" cm="1">
        <f t="array" ref="C211">IFERROR(INDEX('03.Muestra'!$F$8:$F$42,SMALL(IF("Página Web"='03.Muestra'!$D$8:$D$42,ROW('03.Muestra'!$F$8:$F$42)-MIN(ROW('03.Muestra'!$D$8:$D$42))+1,""),ROW()-208)),"")</f>
        <v>https://www.comunidad.madrid/hospital/atencionprimaria/profesionales</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Comunicación</v>
      </c>
      <c r="C212" s="85" t="str" cm="1">
        <f t="array" ref="C212">IFERROR(INDEX('03.Muestra'!$F$8:$F$42,SMALL(IF("Página Web"='03.Muestra'!$D$8:$D$42,ROW('03.Muestra'!$F$8:$F$42)-MIN(ROW('03.Muestra'!$D$8:$D$42))+1,""),ROW()-208)),"")</f>
        <v>https://www.comunidad.madrid/hospital/atencionprimaria/comunicación</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Nosotros</v>
      </c>
      <c r="C213" s="85" t="str" cm="1">
        <f t="array" ref="C213">IFERROR(INDEX('03.Muestra'!$F$8:$F$42,SMALL(IF("Página Web"='03.Muestra'!$D$8:$D$42,ROW('03.Muestra'!$F$8:$F$42)-MIN(ROW('03.Muestra'!$D$8:$D$42))+1,""),ROW()-208)),"")</f>
        <v>https://www.comunidad.madrid/hospital/atencionprimaria/nosotros</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Videoteca</v>
      </c>
      <c r="C214" s="85" t="str" cm="1">
        <f t="array" ref="C214">IFERROR(INDEX('03.Muestra'!$F$8:$F$42,SMALL(IF("Página Web"='03.Muestra'!$D$8:$D$42,ROW('03.Muestra'!$F$8:$F$42)-MIN(ROW('03.Muestra'!$D$8:$D$42))+1,""),ROW()-208)),"")</f>
        <v>https://www.comunidad.madrid/hospital/atencionprimaria/videoteca</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Accesibilidad</v>
      </c>
      <c r="C215" s="85" t="str" cm="1">
        <f t="array" ref="C215">IFERROR(INDEX('03.Muestra'!$F$8:$F$42,SMALL(IF("Página Web"='03.Muestra'!$D$8:$D$42,ROW('03.Muestra'!$F$8:$F$42)-MIN(ROW('03.Muestra'!$D$8:$D$42))+1,""),ROW()-208)),"")</f>
        <v>https://www.comunidad.madrid/hospital/atencionprimaria/declaracion-accesibilidad</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cm="1">
        <f t="array" ref="A216">IFERROR(INDEX('03.Muestra'!$B$8:$B$42,SMALL(IF("Página Web"='03.Muestra'!$D$8:$D$42,ROW('03.Muestra'!$B$8:$B$42)-MIN(ROW('03.Muestra'!$D$8:$D$42))+1,""),ROW()-208)),"")</f>
        <v>8</v>
      </c>
      <c r="B216" s="85" t="str" cm="1">
        <f t="array" ref="B216">IFERROR(INDEX('03.Muestra'!$C$8:$C$42,SMALL(IF("Página Web"='03.Muestra'!$D$8:$D$42,ROW('03.Muestra'!$C$8:$C$42)-MIN(ROW('03.Muestra'!$D$8:$D$42))+1,""),ROW()-208)),"")</f>
        <v>Aviso Legal - Privacidad</v>
      </c>
      <c r="C216" s="85" t="str" cm="1">
        <f t="array" ref="C216">IFERROR(INDEX('03.Muestra'!$F$8:$F$42,SMALL(IF("Página Web"='03.Muestra'!$D$8:$D$42,ROW('03.Muestra'!$F$8:$F$42)-MIN(ROW('03.Muestra'!$D$8:$D$42))+1,""),ROW()-208)),"")</f>
        <v>https://www.comunidad.madrid/hospital/atencionprimaria/aviso-legal-privacidad</v>
      </c>
      <c r="D216" s="99" t="s">
        <v>94</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cm="1">
        <f t="array" ref="A217">IFERROR(INDEX('03.Muestra'!$B$8:$B$42,SMALL(IF("Página Web"='03.Muestra'!$D$8:$D$42,ROW('03.Muestra'!$B$8:$B$42)-MIN(ROW('03.Muestra'!$D$8:$D$42))+1,""),ROW()-208)),"")</f>
        <v>9</v>
      </c>
      <c r="B217" s="85" t="str" cm="1">
        <f t="array" ref="B217">IFERROR(INDEX('03.Muestra'!$C$8:$C$42,SMALL(IF("Página Web"='03.Muestra'!$D$8:$D$42,ROW('03.Muestra'!$C$8:$C$42)-MIN(ROW('03.Muestra'!$D$8:$D$42))+1,""),ROW()-208)),"")</f>
        <v>Mapa Web</v>
      </c>
      <c r="C217" s="85" t="str" cm="1">
        <f t="array" ref="C217">IFERROR(INDEX('03.Muestra'!$F$8:$F$42,SMALL(IF("Página Web"='03.Muestra'!$D$8:$D$42,ROW('03.Muestra'!$F$8:$F$42)-MIN(ROW('03.Muestra'!$D$8:$D$42))+1,""),ROW()-208)),"")</f>
        <v>https://www.comunidad.madrid/hospital/atencionprimaria/sitemap</v>
      </c>
      <c r="D217" s="99" t="s">
        <v>92</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ref="D218:D243" si="11">IF(AND(B218&lt;&gt;"",C218&lt;&gt;""),"N/T","")</f>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https://www.comunidad.madrid/hospital/atencionprimaria/home</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Ciudadanos</v>
      </c>
      <c r="C248" s="85" t="str" cm="1">
        <f t="array" ref="C248">IFERROR(INDEX('03.Muestra'!$F$8:$F$42,SMALL(IF("Página Web"='03.Muestra'!$D$8:$D$42,ROW('03.Muestra'!$F$8:$F$42)-MIN(ROW('03.Muestra'!$D$8:$D$42))+1,""),ROW()-246)),"")</f>
        <v>https://www.comunidad.madrid/hospital/atencionprimaria/ciudadanos</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9</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Profesionales</v>
      </c>
      <c r="C249" s="85" t="str" cm="1">
        <f t="array" ref="C249">IFERROR(INDEX('03.Muestra'!$F$8:$F$42,SMALL(IF("Página Web"='03.Muestra'!$D$8:$D$42,ROW('03.Muestra'!$F$8:$F$42)-MIN(ROW('03.Muestra'!$D$8:$D$42))+1,""),ROW()-246)),"")</f>
        <v>https://www.comunidad.madrid/hospital/atencionprimaria/profesionales</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Comunicación</v>
      </c>
      <c r="C250" s="85" t="str" cm="1">
        <f t="array" ref="C250">IFERROR(INDEX('03.Muestra'!$F$8:$F$42,SMALL(IF("Página Web"='03.Muestra'!$D$8:$D$42,ROW('03.Muestra'!$F$8:$F$42)-MIN(ROW('03.Muestra'!$D$8:$D$42))+1,""),ROW()-246)),"")</f>
        <v>https://www.comunidad.madrid/hospital/atencionprimaria/comunicación</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Nosotros</v>
      </c>
      <c r="C251" s="85" t="str" cm="1">
        <f t="array" ref="C251">IFERROR(INDEX('03.Muestra'!$F$8:$F$42,SMALL(IF("Página Web"='03.Muestra'!$D$8:$D$42,ROW('03.Muestra'!$F$8:$F$42)-MIN(ROW('03.Muestra'!$D$8:$D$42))+1,""),ROW()-246)),"")</f>
        <v>https://www.comunidad.madrid/hospital/atencionprimaria/nosotros</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Videoteca</v>
      </c>
      <c r="C252" s="85" t="str" cm="1">
        <f t="array" ref="C252">IFERROR(INDEX('03.Muestra'!$F$8:$F$42,SMALL(IF("Página Web"='03.Muestra'!$D$8:$D$42,ROW('03.Muestra'!$F$8:$F$42)-MIN(ROW('03.Muestra'!$D$8:$D$42))+1,""),ROW()-246)),"")</f>
        <v>https://www.comunidad.madrid/hospital/atencionprimaria/videoteca</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Accesibilidad</v>
      </c>
      <c r="C253" s="85" t="str" cm="1">
        <f t="array" ref="C253">IFERROR(INDEX('03.Muestra'!$F$8:$F$42,SMALL(IF("Página Web"='03.Muestra'!$D$8:$D$42,ROW('03.Muestra'!$F$8:$F$42)-MIN(ROW('03.Muestra'!$D$8:$D$42))+1,""),ROW()-246)),"")</f>
        <v>https://www.comunidad.madrid/hospital/atencionprimaria/declaracion-accesibilidad</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cm="1">
        <f t="array" ref="A254">IFERROR(INDEX('03.Muestra'!$B$8:$B$42,SMALL(IF("Página Web"='03.Muestra'!$D$8:$D$42,ROW('03.Muestra'!$B$8:$B$42)-MIN(ROW('03.Muestra'!$D$8:$D$42))+1,""),ROW()-246)),"")</f>
        <v>8</v>
      </c>
      <c r="B254" s="85" t="str" cm="1">
        <f t="array" ref="B254">IFERROR(INDEX('03.Muestra'!$C$8:$C$42,SMALL(IF("Página Web"='03.Muestra'!$D$8:$D$42,ROW('03.Muestra'!$C$8:$C$42)-MIN(ROW('03.Muestra'!$D$8:$D$42))+1,""),ROW()-246)),"")</f>
        <v>Aviso Legal - Privacidad</v>
      </c>
      <c r="C254" s="85" t="str" cm="1">
        <f t="array" ref="C254">IFERROR(INDEX('03.Muestra'!$F$8:$F$42,SMALL(IF("Página Web"='03.Muestra'!$D$8:$D$42,ROW('03.Muestra'!$F$8:$F$42)-MIN(ROW('03.Muestra'!$D$8:$D$42))+1,""),ROW()-246)),"")</f>
        <v>https://www.comunidad.madrid/hospital/atencionprimaria/aviso-legal-privacidad</v>
      </c>
      <c r="D254" s="99" t="s">
        <v>94</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cm="1">
        <f t="array" ref="A255">IFERROR(INDEX('03.Muestra'!$B$8:$B$42,SMALL(IF("Página Web"='03.Muestra'!$D$8:$D$42,ROW('03.Muestra'!$B$8:$B$42)-MIN(ROW('03.Muestra'!$D$8:$D$42))+1,""),ROW()-246)),"")</f>
        <v>9</v>
      </c>
      <c r="B255" s="85" t="str" cm="1">
        <f t="array" ref="B255">IFERROR(INDEX('03.Muestra'!$C$8:$C$42,SMALL(IF("Página Web"='03.Muestra'!$D$8:$D$42,ROW('03.Muestra'!$C$8:$C$42)-MIN(ROW('03.Muestra'!$D$8:$D$42))+1,""),ROW()-246)),"")</f>
        <v>Mapa Web</v>
      </c>
      <c r="C255" s="85" t="str" cm="1">
        <f t="array" ref="C255">IFERROR(INDEX('03.Muestra'!$F$8:$F$42,SMALL(IF("Página Web"='03.Muestra'!$D$8:$D$42,ROW('03.Muestra'!$F$8:$F$42)-MIN(ROW('03.Muestra'!$D$8:$D$42))+1,""),ROW()-246)),"")</f>
        <v>https://www.comunidad.madrid/hospital/atencionprimaria/sitemap</v>
      </c>
      <c r="D255" s="99" t="s">
        <v>94</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ref="D256:D281" si="13">IF(AND(B256&lt;&gt;"",C256&lt;&gt;""),"N/T","")</f>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https://www.comunidad.madrid/hospital/atencionprimaria/home</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Ciudadanos</v>
      </c>
      <c r="C286" s="85" t="str" cm="1">
        <f t="array" ref="C286">IFERROR(INDEX('03.Muestra'!$F$8:$F$42,SMALL(IF("Página Web"='03.Muestra'!$D$8:$D$42,ROW('03.Muestra'!$F$8:$F$42)-MIN(ROW('03.Muestra'!$D$8:$D$42))+1,""),ROW()-284)),"")</f>
        <v>https://www.comunidad.madrid/hospital/atencionprimaria/ciudadanos</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9</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Profesionales</v>
      </c>
      <c r="C287" s="85" t="str" cm="1">
        <f t="array" ref="C287">IFERROR(INDEX('03.Muestra'!$F$8:$F$42,SMALL(IF("Página Web"='03.Muestra'!$D$8:$D$42,ROW('03.Muestra'!$F$8:$F$42)-MIN(ROW('03.Muestra'!$D$8:$D$42))+1,""),ROW()-284)),"")</f>
        <v>https://www.comunidad.madrid/hospital/atencionprimaria/profesionales</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Comunicación</v>
      </c>
      <c r="C288" s="85" t="str" cm="1">
        <f t="array" ref="C288">IFERROR(INDEX('03.Muestra'!$F$8:$F$42,SMALL(IF("Página Web"='03.Muestra'!$D$8:$D$42,ROW('03.Muestra'!$F$8:$F$42)-MIN(ROW('03.Muestra'!$D$8:$D$42))+1,""),ROW()-284)),"")</f>
        <v>https://www.comunidad.madrid/hospital/atencionprimaria/comunicación</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Nosotros</v>
      </c>
      <c r="C289" s="85" t="str" cm="1">
        <f t="array" ref="C289">IFERROR(INDEX('03.Muestra'!$F$8:$F$42,SMALL(IF("Página Web"='03.Muestra'!$D$8:$D$42,ROW('03.Muestra'!$F$8:$F$42)-MIN(ROW('03.Muestra'!$D$8:$D$42))+1,""),ROW()-284)),"")</f>
        <v>https://www.comunidad.madrid/hospital/atencionprimaria/nosotros</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Videoteca</v>
      </c>
      <c r="C290" s="85" t="str" cm="1">
        <f t="array" ref="C290">IFERROR(INDEX('03.Muestra'!$F$8:$F$42,SMALL(IF("Página Web"='03.Muestra'!$D$8:$D$42,ROW('03.Muestra'!$F$8:$F$42)-MIN(ROW('03.Muestra'!$D$8:$D$42))+1,""),ROW()-284)),"")</f>
        <v>https://www.comunidad.madrid/hospital/atencionprimaria/videoteca</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Accesibilidad</v>
      </c>
      <c r="C291" s="85" t="str" cm="1">
        <f t="array" ref="C291">IFERROR(INDEX('03.Muestra'!$F$8:$F$42,SMALL(IF("Página Web"='03.Muestra'!$D$8:$D$42,ROW('03.Muestra'!$F$8:$F$42)-MIN(ROW('03.Muestra'!$D$8:$D$42))+1,""),ROW()-284)),"")</f>
        <v>https://www.comunidad.madrid/hospital/atencionprimaria/declaracion-accesibilidad</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cm="1">
        <f t="array" ref="A292">IFERROR(INDEX('03.Muestra'!$B$8:$B$42,SMALL(IF("Página Web"='03.Muestra'!$D$8:$D$42,ROW('03.Muestra'!$B$8:$B$42)-MIN(ROW('03.Muestra'!$D$8:$D$42))+1,""),ROW()-284)),"")</f>
        <v>8</v>
      </c>
      <c r="B292" s="85" t="str" cm="1">
        <f t="array" ref="B292">IFERROR(INDEX('03.Muestra'!$C$8:$C$42,SMALL(IF("Página Web"='03.Muestra'!$D$8:$D$42,ROW('03.Muestra'!$C$8:$C$42)-MIN(ROW('03.Muestra'!$D$8:$D$42))+1,""),ROW()-284)),"")</f>
        <v>Aviso Legal - Privacidad</v>
      </c>
      <c r="C292" s="85" t="str" cm="1">
        <f t="array" ref="C292">IFERROR(INDEX('03.Muestra'!$F$8:$F$42,SMALL(IF("Página Web"='03.Muestra'!$D$8:$D$42,ROW('03.Muestra'!$F$8:$F$42)-MIN(ROW('03.Muestra'!$D$8:$D$42))+1,""),ROW()-284)),"")</f>
        <v>https://www.comunidad.madrid/hospital/atencionprimaria/aviso-legal-privacidad</v>
      </c>
      <c r="D292" s="99" t="s">
        <v>94</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cm="1">
        <f t="array" ref="A293">IFERROR(INDEX('03.Muestra'!$B$8:$B$42,SMALL(IF("Página Web"='03.Muestra'!$D$8:$D$42,ROW('03.Muestra'!$B$8:$B$42)-MIN(ROW('03.Muestra'!$D$8:$D$42))+1,""),ROW()-284)),"")</f>
        <v>9</v>
      </c>
      <c r="B293" s="85" t="str" cm="1">
        <f t="array" ref="B293">IFERROR(INDEX('03.Muestra'!$C$8:$C$42,SMALL(IF("Página Web"='03.Muestra'!$D$8:$D$42,ROW('03.Muestra'!$C$8:$C$42)-MIN(ROW('03.Muestra'!$D$8:$D$42))+1,""),ROW()-284)),"")</f>
        <v>Mapa Web</v>
      </c>
      <c r="C293" s="85" t="str" cm="1">
        <f t="array" ref="C293">IFERROR(INDEX('03.Muestra'!$F$8:$F$42,SMALL(IF("Página Web"='03.Muestra'!$D$8:$D$42,ROW('03.Muestra'!$F$8:$F$42)-MIN(ROW('03.Muestra'!$D$8:$D$42))+1,""),ROW()-284)),"")</f>
        <v>https://www.comunidad.madrid/hospital/atencionprimaria/sitemap</v>
      </c>
      <c r="D293" s="99" t="s">
        <v>94</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ref="D294:D319" si="15">IF(AND(B294&lt;&gt;"",C294&lt;&gt;""),"N/T","")</f>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https://www.comunidad.madrid/hospital/atencionprimaria/home</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Ciudadanos</v>
      </c>
      <c r="C324" s="85" t="str" cm="1">
        <f t="array" ref="C324">IFERROR(INDEX('03.Muestra'!$F$8:$F$42,SMALL(IF("Página Web"='03.Muestra'!$D$8:$D$42,ROW('03.Muestra'!$F$8:$F$42)-MIN(ROW('03.Muestra'!$D$8:$D$42))+1,""),ROW()-322)),"")</f>
        <v>https://www.comunidad.madrid/hospital/atencionprimaria/ciudadanos</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9</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Profesionales</v>
      </c>
      <c r="C325" s="85" t="str" cm="1">
        <f t="array" ref="C325">IFERROR(INDEX('03.Muestra'!$F$8:$F$42,SMALL(IF("Página Web"='03.Muestra'!$D$8:$D$42,ROW('03.Muestra'!$F$8:$F$42)-MIN(ROW('03.Muestra'!$D$8:$D$42))+1,""),ROW()-322)),"")</f>
        <v>https://www.comunidad.madrid/hospital/atencionprimaria/profesionales</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Comunicación</v>
      </c>
      <c r="C326" s="85" t="str" cm="1">
        <f t="array" ref="C326">IFERROR(INDEX('03.Muestra'!$F$8:$F$42,SMALL(IF("Página Web"='03.Muestra'!$D$8:$D$42,ROW('03.Muestra'!$F$8:$F$42)-MIN(ROW('03.Muestra'!$D$8:$D$42))+1,""),ROW()-322)),"")</f>
        <v>https://www.comunidad.madrid/hospital/atencionprimaria/comunicación</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Nosotros</v>
      </c>
      <c r="C327" s="85" t="str" cm="1">
        <f t="array" ref="C327">IFERROR(INDEX('03.Muestra'!$F$8:$F$42,SMALL(IF("Página Web"='03.Muestra'!$D$8:$D$42,ROW('03.Muestra'!$F$8:$F$42)-MIN(ROW('03.Muestra'!$D$8:$D$42))+1,""),ROW()-322)),"")</f>
        <v>https://www.comunidad.madrid/hospital/atencionprimaria/nosotros</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Videoteca</v>
      </c>
      <c r="C328" s="85" t="str" cm="1">
        <f t="array" ref="C328">IFERROR(INDEX('03.Muestra'!$F$8:$F$42,SMALL(IF("Página Web"='03.Muestra'!$D$8:$D$42,ROW('03.Muestra'!$F$8:$F$42)-MIN(ROW('03.Muestra'!$D$8:$D$42))+1,""),ROW()-322)),"")</f>
        <v>https://www.comunidad.madrid/hospital/atencionprimaria/videoteca</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Accesibilidad</v>
      </c>
      <c r="C329" s="85" t="str" cm="1">
        <f t="array" ref="C329">IFERROR(INDEX('03.Muestra'!$F$8:$F$42,SMALL(IF("Página Web"='03.Muestra'!$D$8:$D$42,ROW('03.Muestra'!$F$8:$F$42)-MIN(ROW('03.Muestra'!$D$8:$D$42))+1,""),ROW()-322)),"")</f>
        <v>https://www.comunidad.madrid/hospital/atencionprimaria/declaracion-accesibilidad</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cm="1">
        <f t="array" ref="A330">IFERROR(INDEX('03.Muestra'!$B$8:$B$42,SMALL(IF("Página Web"='03.Muestra'!$D$8:$D$42,ROW('03.Muestra'!$B$8:$B$42)-MIN(ROW('03.Muestra'!$D$8:$D$42))+1,""),ROW()-322)),"")</f>
        <v>8</v>
      </c>
      <c r="B330" s="85" t="str" cm="1">
        <f t="array" ref="B330">IFERROR(INDEX('03.Muestra'!$C$8:$C$42,SMALL(IF("Página Web"='03.Muestra'!$D$8:$D$42,ROW('03.Muestra'!$C$8:$C$42)-MIN(ROW('03.Muestra'!$D$8:$D$42))+1,""),ROW()-322)),"")</f>
        <v>Aviso Legal - Privacidad</v>
      </c>
      <c r="C330" s="85" t="str" cm="1">
        <f t="array" ref="C330">IFERROR(INDEX('03.Muestra'!$F$8:$F$42,SMALL(IF("Página Web"='03.Muestra'!$D$8:$D$42,ROW('03.Muestra'!$F$8:$F$42)-MIN(ROW('03.Muestra'!$D$8:$D$42))+1,""),ROW()-322)),"")</f>
        <v>https://www.comunidad.madrid/hospital/atencionprimaria/aviso-legal-privacidad</v>
      </c>
      <c r="D330" s="99" t="s">
        <v>92</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cm="1">
        <f t="array" ref="A331">IFERROR(INDEX('03.Muestra'!$B$8:$B$42,SMALL(IF("Página Web"='03.Muestra'!$D$8:$D$42,ROW('03.Muestra'!$B$8:$B$42)-MIN(ROW('03.Muestra'!$D$8:$D$42))+1,""),ROW()-322)),"")</f>
        <v>9</v>
      </c>
      <c r="B331" s="85" t="str" cm="1">
        <f t="array" ref="B331">IFERROR(INDEX('03.Muestra'!$C$8:$C$42,SMALL(IF("Página Web"='03.Muestra'!$D$8:$D$42,ROW('03.Muestra'!$C$8:$C$42)-MIN(ROW('03.Muestra'!$D$8:$D$42))+1,""),ROW()-322)),"")</f>
        <v>Mapa Web</v>
      </c>
      <c r="C331" s="85" t="str" cm="1">
        <f t="array" ref="C331">IFERROR(INDEX('03.Muestra'!$F$8:$F$42,SMALL(IF("Página Web"='03.Muestra'!$D$8:$D$42,ROW('03.Muestra'!$F$8:$F$42)-MIN(ROW('03.Muestra'!$D$8:$D$42))+1,""),ROW()-322)),"")</f>
        <v>https://www.comunidad.madrid/hospital/atencionprimaria/sitemap</v>
      </c>
      <c r="D331" s="99" t="s">
        <v>92</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ref="D332:D357" si="17">IF(AND(B332&lt;&gt;"",C332&lt;&gt;""),"N/T","")</f>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https://www.comunidad.madrid/hospital/atencionprimaria/home</v>
      </c>
      <c r="D361" s="99" t="s">
        <v>104</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Ciudadanos</v>
      </c>
      <c r="C362" s="85" t="str" cm="1">
        <f t="array" ref="C362">IFERROR(INDEX('03.Muestra'!$F$8:$F$42,SMALL(IF("Página Web"='03.Muestra'!$D$8:$D$42,ROW('03.Muestra'!$F$8:$F$42)-MIN(ROW('03.Muestra'!$D$8:$D$42))+1,""),ROW()-360)),"")</f>
        <v>https://www.comunidad.madrid/hospital/atencionprimaria/ciudadanos</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9</v>
      </c>
      <c r="I362" s="91">
        <f ca="1">COUNTIF($D361:INDIRECT("$D" &amp;  SUM(ROW()-1,'03.Muestra'!$D$45)-1),I361)</f>
        <v>0</v>
      </c>
      <c r="J362" s="91">
        <f ca="1">COUNTIF($D361:INDIRECT("$D" &amp;  SUM(ROW()-1,'03.Muestra'!$D$45)-1),J361)</f>
        <v>0</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Profesionales</v>
      </c>
      <c r="C363" s="85" t="str" cm="1">
        <f t="array" ref="C363">IFERROR(INDEX('03.Muestra'!$F$8:$F$42,SMALL(IF("Página Web"='03.Muestra'!$D$8:$D$42,ROW('03.Muestra'!$F$8:$F$42)-MIN(ROW('03.Muestra'!$D$8:$D$42))+1,""),ROW()-360)),"")</f>
        <v>https://www.comunidad.madrid/hospital/atencionprimaria/profesionales</v>
      </c>
      <c r="D363" s="99" t="s">
        <v>104</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Comunicación</v>
      </c>
      <c r="C364" s="85" t="str" cm="1">
        <f t="array" ref="C364">IFERROR(INDEX('03.Muestra'!$F$8:$F$42,SMALL(IF("Página Web"='03.Muestra'!$D$8:$D$42,ROW('03.Muestra'!$F$8:$F$42)-MIN(ROW('03.Muestra'!$D$8:$D$42))+1,""),ROW()-360)),"")</f>
        <v>https://www.comunidad.madrid/hospital/atencionprimaria/comunicación</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Nosotros</v>
      </c>
      <c r="C365" s="85" t="str" cm="1">
        <f t="array" ref="C365">IFERROR(INDEX('03.Muestra'!$F$8:$F$42,SMALL(IF("Página Web"='03.Muestra'!$D$8:$D$42,ROW('03.Muestra'!$F$8:$F$42)-MIN(ROW('03.Muestra'!$D$8:$D$42))+1,""),ROW()-360)),"")</f>
        <v>https://www.comunidad.madrid/hospital/atencionprimaria/nosotros</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Videoteca</v>
      </c>
      <c r="C366" s="85" t="str" cm="1">
        <f t="array" ref="C366">IFERROR(INDEX('03.Muestra'!$F$8:$F$42,SMALL(IF("Página Web"='03.Muestra'!$D$8:$D$42,ROW('03.Muestra'!$F$8:$F$42)-MIN(ROW('03.Muestra'!$D$8:$D$42))+1,""),ROW()-360)),"")</f>
        <v>https://www.comunidad.madrid/hospital/atencionprimaria/videoteca</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Accesibilidad</v>
      </c>
      <c r="C367" s="85" t="str" cm="1">
        <f t="array" ref="C367">IFERROR(INDEX('03.Muestra'!$F$8:$F$42,SMALL(IF("Página Web"='03.Muestra'!$D$8:$D$42,ROW('03.Muestra'!$F$8:$F$42)-MIN(ROW('03.Muestra'!$D$8:$D$42))+1,""),ROW()-360)),"")</f>
        <v>https://www.comunidad.madrid/hospital/atencionprimaria/declaracion-accesibilidad</v>
      </c>
      <c r="D367" s="99" t="s">
        <v>104</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cm="1">
        <f t="array" ref="A368">IFERROR(INDEX('03.Muestra'!$B$8:$B$42,SMALL(IF("Página Web"='03.Muestra'!$D$8:$D$42,ROW('03.Muestra'!$B$8:$B$42)-MIN(ROW('03.Muestra'!$D$8:$D$42))+1,""),ROW()-360)),"")</f>
        <v>8</v>
      </c>
      <c r="B368" s="85" t="str" cm="1">
        <f t="array" ref="B368">IFERROR(INDEX('03.Muestra'!$C$8:$C$42,SMALL(IF("Página Web"='03.Muestra'!$D$8:$D$42,ROW('03.Muestra'!$C$8:$C$42)-MIN(ROW('03.Muestra'!$D$8:$D$42))+1,""),ROW()-360)),"")</f>
        <v>Aviso Legal - Privacidad</v>
      </c>
      <c r="C368" s="85" t="str" cm="1">
        <f t="array" ref="C368">IFERROR(INDEX('03.Muestra'!$F$8:$F$42,SMALL(IF("Página Web"='03.Muestra'!$D$8:$D$42,ROW('03.Muestra'!$F$8:$F$42)-MIN(ROW('03.Muestra'!$D$8:$D$42))+1,""),ROW()-360)),"")</f>
        <v>https://www.comunidad.madrid/hospital/atencionprimaria/aviso-legal-privacidad</v>
      </c>
      <c r="D368" s="99" t="s">
        <v>104</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cm="1">
        <f t="array" ref="A369">IFERROR(INDEX('03.Muestra'!$B$8:$B$42,SMALL(IF("Página Web"='03.Muestra'!$D$8:$D$42,ROW('03.Muestra'!$B$8:$B$42)-MIN(ROW('03.Muestra'!$D$8:$D$42))+1,""),ROW()-360)),"")</f>
        <v>9</v>
      </c>
      <c r="B369" s="85" t="str" cm="1">
        <f t="array" ref="B369">IFERROR(INDEX('03.Muestra'!$C$8:$C$42,SMALL(IF("Página Web"='03.Muestra'!$D$8:$D$42,ROW('03.Muestra'!$C$8:$C$42)-MIN(ROW('03.Muestra'!$D$8:$D$42))+1,""),ROW()-360)),"")</f>
        <v>Mapa Web</v>
      </c>
      <c r="C369" s="85" t="str" cm="1">
        <f t="array" ref="C369">IFERROR(INDEX('03.Muestra'!$F$8:$F$42,SMALL(IF("Página Web"='03.Muestra'!$D$8:$D$42,ROW('03.Muestra'!$F$8:$F$42)-MIN(ROW('03.Muestra'!$D$8:$D$42))+1,""),ROW()-360)),"")</f>
        <v>https://www.comunidad.madrid/hospital/atencionprimaria/sitemap</v>
      </c>
      <c r="D369" s="99" t="s">
        <v>104</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ref="D370:D395" si="19">IF(AND(B370&lt;&gt;"",C370&lt;&gt;""),"N/T","")</f>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https://www.comunidad.madrid/hospital/atencionprimaria/home</v>
      </c>
      <c r="D399" s="99" t="s">
        <v>92</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Ciudadanos</v>
      </c>
      <c r="C400" s="85" t="str" cm="1">
        <f t="array" ref="C400">IFERROR(INDEX('03.Muestra'!$F$8:$F$42,SMALL(IF("Página Web"='03.Muestra'!$D$8:$D$42,ROW('03.Muestra'!$F$8:$F$42)-MIN(ROW('03.Muestra'!$D$8:$D$42))+1,""),ROW()-398)),"")</f>
        <v>https://www.comunidad.madrid/hospital/atencionprimaria/ciudadanos</v>
      </c>
      <c r="D400" s="99" t="s">
        <v>92</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9</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Profesionales</v>
      </c>
      <c r="C401" s="85" t="str" cm="1">
        <f t="array" ref="C401">IFERROR(INDEX('03.Muestra'!$F$8:$F$42,SMALL(IF("Página Web"='03.Muestra'!$D$8:$D$42,ROW('03.Muestra'!$F$8:$F$42)-MIN(ROW('03.Muestra'!$D$8:$D$42))+1,""),ROW()-398)),"")</f>
        <v>https://www.comunidad.madrid/hospital/atencionprimaria/profesionales</v>
      </c>
      <c r="D401" s="99" t="s">
        <v>92</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Comunicación</v>
      </c>
      <c r="C402" s="85" t="str" cm="1">
        <f t="array" ref="C402">IFERROR(INDEX('03.Muestra'!$F$8:$F$42,SMALL(IF("Página Web"='03.Muestra'!$D$8:$D$42,ROW('03.Muestra'!$F$8:$F$42)-MIN(ROW('03.Muestra'!$D$8:$D$42))+1,""),ROW()-398)),"")</f>
        <v>https://www.comunidad.madrid/hospital/atencionprimaria/comunicación</v>
      </c>
      <c r="D402" s="99" t="s">
        <v>92</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Nosotros</v>
      </c>
      <c r="C403" s="85" t="str" cm="1">
        <f t="array" ref="C403">IFERROR(INDEX('03.Muestra'!$F$8:$F$42,SMALL(IF("Página Web"='03.Muestra'!$D$8:$D$42,ROW('03.Muestra'!$F$8:$F$42)-MIN(ROW('03.Muestra'!$D$8:$D$42))+1,""),ROW()-398)),"")</f>
        <v>https://www.comunidad.madrid/hospital/atencionprimaria/nosotros</v>
      </c>
      <c r="D403" s="99" t="s">
        <v>92</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Videoteca</v>
      </c>
      <c r="C404" s="85" t="str" cm="1">
        <f t="array" ref="C404">IFERROR(INDEX('03.Muestra'!$F$8:$F$42,SMALL(IF("Página Web"='03.Muestra'!$D$8:$D$42,ROW('03.Muestra'!$F$8:$F$42)-MIN(ROW('03.Muestra'!$D$8:$D$42))+1,""),ROW()-398)),"")</f>
        <v>https://www.comunidad.madrid/hospital/atencionprimaria/videoteca</v>
      </c>
      <c r="D404" s="99" t="s">
        <v>92</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Accesibilidad</v>
      </c>
      <c r="C405" s="85" t="str" cm="1">
        <f t="array" ref="C405">IFERROR(INDEX('03.Muestra'!$F$8:$F$42,SMALL(IF("Página Web"='03.Muestra'!$D$8:$D$42,ROW('03.Muestra'!$F$8:$F$42)-MIN(ROW('03.Muestra'!$D$8:$D$42))+1,""),ROW()-398)),"")</f>
        <v>https://www.comunidad.madrid/hospital/atencionprimaria/declaracion-accesibilidad</v>
      </c>
      <c r="D405" s="99" t="s">
        <v>92</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cm="1">
        <f t="array" ref="A406">IFERROR(INDEX('03.Muestra'!$B$8:$B$42,SMALL(IF("Página Web"='03.Muestra'!$D$8:$D$42,ROW('03.Muestra'!$B$8:$B$42)-MIN(ROW('03.Muestra'!$D$8:$D$42))+1,""),ROW()-398)),"")</f>
        <v>8</v>
      </c>
      <c r="B406" s="85" t="str" cm="1">
        <f t="array" ref="B406">IFERROR(INDEX('03.Muestra'!$C$8:$C$42,SMALL(IF("Página Web"='03.Muestra'!$D$8:$D$42,ROW('03.Muestra'!$C$8:$C$42)-MIN(ROW('03.Muestra'!$D$8:$D$42))+1,""),ROW()-398)),"")</f>
        <v>Aviso Legal - Privacidad</v>
      </c>
      <c r="C406" s="85" t="str" cm="1">
        <f t="array" ref="C406">IFERROR(INDEX('03.Muestra'!$F$8:$F$42,SMALL(IF("Página Web"='03.Muestra'!$D$8:$D$42,ROW('03.Muestra'!$F$8:$F$42)-MIN(ROW('03.Muestra'!$D$8:$D$42))+1,""),ROW()-398)),"")</f>
        <v>https://www.comunidad.madrid/hospital/atencionprimaria/aviso-legal-privacidad</v>
      </c>
      <c r="D406" s="99" t="s">
        <v>92</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cm="1">
        <f t="array" ref="A407">IFERROR(INDEX('03.Muestra'!$B$8:$B$42,SMALL(IF("Página Web"='03.Muestra'!$D$8:$D$42,ROW('03.Muestra'!$B$8:$B$42)-MIN(ROW('03.Muestra'!$D$8:$D$42))+1,""),ROW()-398)),"")</f>
        <v>9</v>
      </c>
      <c r="B407" s="85" t="str" cm="1">
        <f t="array" ref="B407">IFERROR(INDEX('03.Muestra'!$C$8:$C$42,SMALL(IF("Página Web"='03.Muestra'!$D$8:$D$42,ROW('03.Muestra'!$C$8:$C$42)-MIN(ROW('03.Muestra'!$D$8:$D$42))+1,""),ROW()-398)),"")</f>
        <v>Mapa Web</v>
      </c>
      <c r="C407" s="85" t="str" cm="1">
        <f t="array" ref="C407">IFERROR(INDEX('03.Muestra'!$F$8:$F$42,SMALL(IF("Página Web"='03.Muestra'!$D$8:$D$42,ROW('03.Muestra'!$F$8:$F$42)-MIN(ROW('03.Muestra'!$D$8:$D$42))+1,""),ROW()-398)),"")</f>
        <v>https://www.comunidad.madrid/hospital/atencionprimaria/sitemap</v>
      </c>
      <c r="D407" s="99" t="s">
        <v>92</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ref="D408:D433" si="21">IF(AND(B408&lt;&gt;"",C408&lt;&gt;""),"N/T","")</f>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https://www.comunidad.madrid/hospital/atencionprimaria/home</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Ciudadanos</v>
      </c>
      <c r="C438" s="85" t="str" cm="1">
        <f t="array" ref="C438">IFERROR(INDEX('03.Muestra'!$F$8:$F$42,SMALL(IF("Página Web"='03.Muestra'!$D$8:$D$42,ROW('03.Muestra'!$F$8:$F$42)-MIN(ROW('03.Muestra'!$D$8:$D$42))+1,""),ROW()-436)),"")</f>
        <v>https://www.comunidad.madrid/hospital/atencionprimaria/ciudadanos</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9</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Profesionales</v>
      </c>
      <c r="C439" s="85" t="str" cm="1">
        <f t="array" ref="C439">IFERROR(INDEX('03.Muestra'!$F$8:$F$42,SMALL(IF("Página Web"='03.Muestra'!$D$8:$D$42,ROW('03.Muestra'!$F$8:$F$42)-MIN(ROW('03.Muestra'!$D$8:$D$42))+1,""),ROW()-436)),"")</f>
        <v>https://www.comunidad.madrid/hospital/atencionprimaria/profesionales</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Comunicación</v>
      </c>
      <c r="C440" s="85" t="str" cm="1">
        <f t="array" ref="C440">IFERROR(INDEX('03.Muestra'!$F$8:$F$42,SMALL(IF("Página Web"='03.Muestra'!$D$8:$D$42,ROW('03.Muestra'!$F$8:$F$42)-MIN(ROW('03.Muestra'!$D$8:$D$42))+1,""),ROW()-436)),"")</f>
        <v>https://www.comunidad.madrid/hospital/atencionprimaria/comunicación</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Nosotros</v>
      </c>
      <c r="C441" s="85" t="str" cm="1">
        <f t="array" ref="C441">IFERROR(INDEX('03.Muestra'!$F$8:$F$42,SMALL(IF("Página Web"='03.Muestra'!$D$8:$D$42,ROW('03.Muestra'!$F$8:$F$42)-MIN(ROW('03.Muestra'!$D$8:$D$42))+1,""),ROW()-436)),"")</f>
        <v>https://www.comunidad.madrid/hospital/atencionprimaria/nosotros</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Videoteca</v>
      </c>
      <c r="C442" s="85" t="str" cm="1">
        <f t="array" ref="C442">IFERROR(INDEX('03.Muestra'!$F$8:$F$42,SMALL(IF("Página Web"='03.Muestra'!$D$8:$D$42,ROW('03.Muestra'!$F$8:$F$42)-MIN(ROW('03.Muestra'!$D$8:$D$42))+1,""),ROW()-436)),"")</f>
        <v>https://www.comunidad.madrid/hospital/atencionprimaria/videoteca</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Accesibilidad</v>
      </c>
      <c r="C443" s="85" t="str" cm="1">
        <f t="array" ref="C443">IFERROR(INDEX('03.Muestra'!$F$8:$F$42,SMALL(IF("Página Web"='03.Muestra'!$D$8:$D$42,ROW('03.Muestra'!$F$8:$F$42)-MIN(ROW('03.Muestra'!$D$8:$D$42))+1,""),ROW()-436)),"")</f>
        <v>https://www.comunidad.madrid/hospital/atencionprimaria/declaracion-accesibilidad</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cm="1">
        <f t="array" ref="A444">IFERROR(INDEX('03.Muestra'!$B$8:$B$42,SMALL(IF("Página Web"='03.Muestra'!$D$8:$D$42,ROW('03.Muestra'!$B$8:$B$42)-MIN(ROW('03.Muestra'!$D$8:$D$42))+1,""),ROW()-436)),"")</f>
        <v>8</v>
      </c>
      <c r="B444" s="85" t="str" cm="1">
        <f t="array" ref="B444">IFERROR(INDEX('03.Muestra'!$C$8:$C$42,SMALL(IF("Página Web"='03.Muestra'!$D$8:$D$42,ROW('03.Muestra'!$C$8:$C$42)-MIN(ROW('03.Muestra'!$D$8:$D$42))+1,""),ROW()-436)),"")</f>
        <v>Aviso Legal - Privacidad</v>
      </c>
      <c r="C444" s="85" t="str" cm="1">
        <f t="array" ref="C444">IFERROR(INDEX('03.Muestra'!$F$8:$F$42,SMALL(IF("Página Web"='03.Muestra'!$D$8:$D$42,ROW('03.Muestra'!$F$8:$F$42)-MIN(ROW('03.Muestra'!$D$8:$D$42))+1,""),ROW()-436)),"")</f>
        <v>https://www.comunidad.madrid/hospital/atencionprimaria/aviso-legal-privacidad</v>
      </c>
      <c r="D444" s="99" t="s">
        <v>104</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cm="1">
        <f t="array" ref="A445">IFERROR(INDEX('03.Muestra'!$B$8:$B$42,SMALL(IF("Página Web"='03.Muestra'!$D$8:$D$42,ROW('03.Muestra'!$B$8:$B$42)-MIN(ROW('03.Muestra'!$D$8:$D$42))+1,""),ROW()-436)),"")</f>
        <v>9</v>
      </c>
      <c r="B445" s="85" t="str" cm="1">
        <f t="array" ref="B445">IFERROR(INDEX('03.Muestra'!$C$8:$C$42,SMALL(IF("Página Web"='03.Muestra'!$D$8:$D$42,ROW('03.Muestra'!$C$8:$C$42)-MIN(ROW('03.Muestra'!$D$8:$D$42))+1,""),ROW()-436)),"")</f>
        <v>Mapa Web</v>
      </c>
      <c r="C445" s="85" t="str" cm="1">
        <f t="array" ref="C445">IFERROR(INDEX('03.Muestra'!$F$8:$F$42,SMALL(IF("Página Web"='03.Muestra'!$D$8:$D$42,ROW('03.Muestra'!$F$8:$F$42)-MIN(ROW('03.Muestra'!$D$8:$D$42))+1,""),ROW()-436)),"")</f>
        <v>https://www.comunidad.madrid/hospital/atencionprimaria/sitemap</v>
      </c>
      <c r="D445" s="99" t="s">
        <v>104</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ref="D446:D471" si="23">IF(AND(B446&lt;&gt;"",C446&lt;&gt;""),"N/T","")</f>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https://www.comunidad.madrid/hospital/atencionprimaria/home</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Ciudadanos</v>
      </c>
      <c r="C476" s="85" t="str" cm="1">
        <f t="array" ref="C476">IFERROR(INDEX('03.Muestra'!$F$8:$F$42,SMALL(IF("Página Web"='03.Muestra'!$D$8:$D$42,ROW('03.Muestra'!$F$8:$F$42)-MIN(ROW('03.Muestra'!$D$8:$D$42))+1,""),ROW()-474)),"")</f>
        <v>https://www.comunidad.madrid/hospital/atencionprimaria/ciudadanos</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9</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Profesionales</v>
      </c>
      <c r="C477" s="85" t="str" cm="1">
        <f t="array" ref="C477">IFERROR(INDEX('03.Muestra'!$F$8:$F$42,SMALL(IF("Página Web"='03.Muestra'!$D$8:$D$42,ROW('03.Muestra'!$F$8:$F$42)-MIN(ROW('03.Muestra'!$D$8:$D$42))+1,""),ROW()-474)),"")</f>
        <v>https://www.comunidad.madrid/hospital/atencionprimaria/profesionales</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Comunicación</v>
      </c>
      <c r="C478" s="85" t="str" cm="1">
        <f t="array" ref="C478">IFERROR(INDEX('03.Muestra'!$F$8:$F$42,SMALL(IF("Página Web"='03.Muestra'!$D$8:$D$42,ROW('03.Muestra'!$F$8:$F$42)-MIN(ROW('03.Muestra'!$D$8:$D$42))+1,""),ROW()-474)),"")</f>
        <v>https://www.comunidad.madrid/hospital/atencionprimaria/comunicación</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Nosotros</v>
      </c>
      <c r="C479" s="85" t="str" cm="1">
        <f t="array" ref="C479">IFERROR(INDEX('03.Muestra'!$F$8:$F$42,SMALL(IF("Página Web"='03.Muestra'!$D$8:$D$42,ROW('03.Muestra'!$F$8:$F$42)-MIN(ROW('03.Muestra'!$D$8:$D$42))+1,""),ROW()-474)),"")</f>
        <v>https://www.comunidad.madrid/hospital/atencionprimaria/nosotros</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Videoteca</v>
      </c>
      <c r="C480" s="85" t="str" cm="1">
        <f t="array" ref="C480">IFERROR(INDEX('03.Muestra'!$F$8:$F$42,SMALL(IF("Página Web"='03.Muestra'!$D$8:$D$42,ROW('03.Muestra'!$F$8:$F$42)-MIN(ROW('03.Muestra'!$D$8:$D$42))+1,""),ROW()-474)),"")</f>
        <v>https://www.comunidad.madrid/hospital/atencionprimaria/videoteca</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Accesibilidad</v>
      </c>
      <c r="C481" s="85" t="str" cm="1">
        <f t="array" ref="C481">IFERROR(INDEX('03.Muestra'!$F$8:$F$42,SMALL(IF("Página Web"='03.Muestra'!$D$8:$D$42,ROW('03.Muestra'!$F$8:$F$42)-MIN(ROW('03.Muestra'!$D$8:$D$42))+1,""),ROW()-474)),"")</f>
        <v>https://www.comunidad.madrid/hospital/atencionprimaria/declaracion-accesibilidad</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cm="1">
        <f t="array" ref="A482">IFERROR(INDEX('03.Muestra'!$B$8:$B$42,SMALL(IF("Página Web"='03.Muestra'!$D$8:$D$42,ROW('03.Muestra'!$B$8:$B$42)-MIN(ROW('03.Muestra'!$D$8:$D$42))+1,""),ROW()-474)),"")</f>
        <v>8</v>
      </c>
      <c r="B482" s="85" t="str" cm="1">
        <f t="array" ref="B482">IFERROR(INDEX('03.Muestra'!$C$8:$C$42,SMALL(IF("Página Web"='03.Muestra'!$D$8:$D$42,ROW('03.Muestra'!$C$8:$C$42)-MIN(ROW('03.Muestra'!$D$8:$D$42))+1,""),ROW()-474)),"")</f>
        <v>Aviso Legal - Privacidad</v>
      </c>
      <c r="C482" s="85" t="str" cm="1">
        <f t="array" ref="C482">IFERROR(INDEX('03.Muestra'!$F$8:$F$42,SMALL(IF("Página Web"='03.Muestra'!$D$8:$D$42,ROW('03.Muestra'!$F$8:$F$42)-MIN(ROW('03.Muestra'!$D$8:$D$42))+1,""),ROW()-474)),"")</f>
        <v>https://www.comunidad.madrid/hospital/atencionprimaria/aviso-legal-privacidad</v>
      </c>
      <c r="D482" s="99" t="s">
        <v>92</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cm="1">
        <f t="array" ref="A483">IFERROR(INDEX('03.Muestra'!$B$8:$B$42,SMALL(IF("Página Web"='03.Muestra'!$D$8:$D$42,ROW('03.Muestra'!$B$8:$B$42)-MIN(ROW('03.Muestra'!$D$8:$D$42))+1,""),ROW()-474)),"")</f>
        <v>9</v>
      </c>
      <c r="B483" s="85" t="str" cm="1">
        <f t="array" ref="B483">IFERROR(INDEX('03.Muestra'!$C$8:$C$42,SMALL(IF("Página Web"='03.Muestra'!$D$8:$D$42,ROW('03.Muestra'!$C$8:$C$42)-MIN(ROW('03.Muestra'!$D$8:$D$42))+1,""),ROW()-474)),"")</f>
        <v>Mapa Web</v>
      </c>
      <c r="C483" s="85" t="str" cm="1">
        <f t="array" ref="C483">IFERROR(INDEX('03.Muestra'!$F$8:$F$42,SMALL(IF("Página Web"='03.Muestra'!$D$8:$D$42,ROW('03.Muestra'!$F$8:$F$42)-MIN(ROW('03.Muestra'!$D$8:$D$42))+1,""),ROW()-474)),"")</f>
        <v>https://www.comunidad.madrid/hospital/atencionprimaria/sitemap</v>
      </c>
      <c r="D483" s="99" t="s">
        <v>92</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ref="D484:D509" si="25">IF(AND(B484&lt;&gt;"",C484&lt;&gt;""),"N/T","")</f>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https://www.comunidad.madrid/hospital/atencionprimaria/home</v>
      </c>
      <c r="D513" s="99" t="s">
        <v>94</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Ciudadanos</v>
      </c>
      <c r="C514" s="85" t="str" cm="1">
        <f t="array" ref="C514">IFERROR(INDEX('03.Muestra'!$F$8:$F$42,SMALL(IF("Página Web"='03.Muestra'!$D$8:$D$42,ROW('03.Muestra'!$F$8:$F$42)-MIN(ROW('03.Muestra'!$D$8:$D$42))+1,""),ROW()-512)),"")</f>
        <v>https://www.comunidad.madrid/hospital/atencionprimaria/ciudadanos</v>
      </c>
      <c r="D514" s="99" t="s">
        <v>94</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9</v>
      </c>
      <c r="J514" s="91">
        <f ca="1">COUNTIF($D513:INDIRECT("$D" &amp;  SUM(ROW()-1,'03.Muestra'!$D$45)-1),J513)</f>
        <v>0</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Profesionales</v>
      </c>
      <c r="C515" s="85" t="str" cm="1">
        <f t="array" ref="C515">IFERROR(INDEX('03.Muestra'!$F$8:$F$42,SMALL(IF("Página Web"='03.Muestra'!$D$8:$D$42,ROW('03.Muestra'!$F$8:$F$42)-MIN(ROW('03.Muestra'!$D$8:$D$42))+1,""),ROW()-512)),"")</f>
        <v>https://www.comunidad.madrid/hospital/atencionprimaria/profesionales</v>
      </c>
      <c r="D515" s="99" t="s">
        <v>94</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Comunicación</v>
      </c>
      <c r="C516" s="85" t="str" cm="1">
        <f t="array" ref="C516">IFERROR(INDEX('03.Muestra'!$F$8:$F$42,SMALL(IF("Página Web"='03.Muestra'!$D$8:$D$42,ROW('03.Muestra'!$F$8:$F$42)-MIN(ROW('03.Muestra'!$D$8:$D$42))+1,""),ROW()-512)),"")</f>
        <v>https://www.comunidad.madrid/hospital/atencionprimaria/comunicación</v>
      </c>
      <c r="D516" s="99" t="s">
        <v>94</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Nosotros</v>
      </c>
      <c r="C517" s="85" t="str" cm="1">
        <f t="array" ref="C517">IFERROR(INDEX('03.Muestra'!$F$8:$F$42,SMALL(IF("Página Web"='03.Muestra'!$D$8:$D$42,ROW('03.Muestra'!$F$8:$F$42)-MIN(ROW('03.Muestra'!$D$8:$D$42))+1,""),ROW()-512)),"")</f>
        <v>https://www.comunidad.madrid/hospital/atencionprimaria/nosotros</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Videoteca</v>
      </c>
      <c r="C518" s="85" t="str" cm="1">
        <f t="array" ref="C518">IFERROR(INDEX('03.Muestra'!$F$8:$F$42,SMALL(IF("Página Web"='03.Muestra'!$D$8:$D$42,ROW('03.Muestra'!$F$8:$F$42)-MIN(ROW('03.Muestra'!$D$8:$D$42))+1,""),ROW()-512)),"")</f>
        <v>https://www.comunidad.madrid/hospital/atencionprimaria/videoteca</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Accesibilidad</v>
      </c>
      <c r="C519" s="85" t="str" cm="1">
        <f t="array" ref="C519">IFERROR(INDEX('03.Muestra'!$F$8:$F$42,SMALL(IF("Página Web"='03.Muestra'!$D$8:$D$42,ROW('03.Muestra'!$F$8:$F$42)-MIN(ROW('03.Muestra'!$D$8:$D$42))+1,""),ROW()-512)),"")</f>
        <v>https://www.comunidad.madrid/hospital/atencionprimaria/declaracion-accesibilidad</v>
      </c>
      <c r="D519" s="99" t="s">
        <v>94</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cm="1">
        <f t="array" ref="A520">IFERROR(INDEX('03.Muestra'!$B$8:$B$42,SMALL(IF("Página Web"='03.Muestra'!$D$8:$D$42,ROW('03.Muestra'!$B$8:$B$42)-MIN(ROW('03.Muestra'!$D$8:$D$42))+1,""),ROW()-512)),"")</f>
        <v>8</v>
      </c>
      <c r="B520" s="85" t="str" cm="1">
        <f t="array" ref="B520">IFERROR(INDEX('03.Muestra'!$C$8:$C$42,SMALL(IF("Página Web"='03.Muestra'!$D$8:$D$42,ROW('03.Muestra'!$C$8:$C$42)-MIN(ROW('03.Muestra'!$D$8:$D$42))+1,""),ROW()-512)),"")</f>
        <v>Aviso Legal - Privacidad</v>
      </c>
      <c r="C520" s="85" t="str" cm="1">
        <f t="array" ref="C520">IFERROR(INDEX('03.Muestra'!$F$8:$F$42,SMALL(IF("Página Web"='03.Muestra'!$D$8:$D$42,ROW('03.Muestra'!$F$8:$F$42)-MIN(ROW('03.Muestra'!$D$8:$D$42))+1,""),ROW()-512)),"")</f>
        <v>https://www.comunidad.madrid/hospital/atencionprimaria/aviso-legal-privacidad</v>
      </c>
      <c r="D520" s="99" t="s">
        <v>94</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cm="1">
        <f t="array" ref="A521">IFERROR(INDEX('03.Muestra'!$B$8:$B$42,SMALL(IF("Página Web"='03.Muestra'!$D$8:$D$42,ROW('03.Muestra'!$B$8:$B$42)-MIN(ROW('03.Muestra'!$D$8:$D$42))+1,""),ROW()-512)),"")</f>
        <v>9</v>
      </c>
      <c r="B521" s="85" t="str" cm="1">
        <f t="array" ref="B521">IFERROR(INDEX('03.Muestra'!$C$8:$C$42,SMALL(IF("Página Web"='03.Muestra'!$D$8:$D$42,ROW('03.Muestra'!$C$8:$C$42)-MIN(ROW('03.Muestra'!$D$8:$D$42))+1,""),ROW()-512)),"")</f>
        <v>Mapa Web</v>
      </c>
      <c r="C521" s="85" t="str" cm="1">
        <f t="array" ref="C521">IFERROR(INDEX('03.Muestra'!$F$8:$F$42,SMALL(IF("Página Web"='03.Muestra'!$D$8:$D$42,ROW('03.Muestra'!$F$8:$F$42)-MIN(ROW('03.Muestra'!$D$8:$D$42))+1,""),ROW()-512)),"")</f>
        <v>https://www.comunidad.madrid/hospital/atencionprimaria/sitemap</v>
      </c>
      <c r="D521" s="99" t="s">
        <v>94</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ref="D522:D547" si="27">IF(AND(B522&lt;&gt;"",C522&lt;&gt;""),"N/T","")</f>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https://www.comunidad.madrid/hospital/atencionprimaria/home</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Ciudadanos</v>
      </c>
      <c r="C552" s="85" t="str" cm="1">
        <f t="array" ref="C552">IFERROR(INDEX('03.Muestra'!$F$8:$F$42,SMALL(IF("Página Web"='03.Muestra'!$D$8:$D$42,ROW('03.Muestra'!$F$8:$F$42)-MIN(ROW('03.Muestra'!$D$8:$D$42))+1,""),ROW()-550)),"")</f>
        <v>https://www.comunidad.madrid/hospital/atencionprimaria/ciudadanos</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9</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Profesionales</v>
      </c>
      <c r="C553" s="85" t="str" cm="1">
        <f t="array" ref="C553">IFERROR(INDEX('03.Muestra'!$F$8:$F$42,SMALL(IF("Página Web"='03.Muestra'!$D$8:$D$42,ROW('03.Muestra'!$F$8:$F$42)-MIN(ROW('03.Muestra'!$D$8:$D$42))+1,""),ROW()-550)),"")</f>
        <v>https://www.comunidad.madrid/hospital/atencionprimaria/profesionales</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Comunicación</v>
      </c>
      <c r="C554" s="85" t="str" cm="1">
        <f t="array" ref="C554">IFERROR(INDEX('03.Muestra'!$F$8:$F$42,SMALL(IF("Página Web"='03.Muestra'!$D$8:$D$42,ROW('03.Muestra'!$F$8:$F$42)-MIN(ROW('03.Muestra'!$D$8:$D$42))+1,""),ROW()-550)),"")</f>
        <v>https://www.comunidad.madrid/hospital/atencionprimaria/comunicación</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Nosotros</v>
      </c>
      <c r="C555" s="85" t="str" cm="1">
        <f t="array" ref="C555">IFERROR(INDEX('03.Muestra'!$F$8:$F$42,SMALL(IF("Página Web"='03.Muestra'!$D$8:$D$42,ROW('03.Muestra'!$F$8:$F$42)-MIN(ROW('03.Muestra'!$D$8:$D$42))+1,""),ROW()-550)),"")</f>
        <v>https://www.comunidad.madrid/hospital/atencionprimaria/nosotros</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Videoteca</v>
      </c>
      <c r="C556" s="85" t="str" cm="1">
        <f t="array" ref="C556">IFERROR(INDEX('03.Muestra'!$F$8:$F$42,SMALL(IF("Página Web"='03.Muestra'!$D$8:$D$42,ROW('03.Muestra'!$F$8:$F$42)-MIN(ROW('03.Muestra'!$D$8:$D$42))+1,""),ROW()-550)),"")</f>
        <v>https://www.comunidad.madrid/hospital/atencionprimaria/videoteca</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Accesibilidad</v>
      </c>
      <c r="C557" s="85" t="str" cm="1">
        <f t="array" ref="C557">IFERROR(INDEX('03.Muestra'!$F$8:$F$42,SMALL(IF("Página Web"='03.Muestra'!$D$8:$D$42,ROW('03.Muestra'!$F$8:$F$42)-MIN(ROW('03.Muestra'!$D$8:$D$42))+1,""),ROW()-550)),"")</f>
        <v>https://www.comunidad.madrid/hospital/atencionprimaria/declaracion-accesibilidad</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cm="1">
        <f t="array" ref="A558">IFERROR(INDEX('03.Muestra'!$B$8:$B$42,SMALL(IF("Página Web"='03.Muestra'!$D$8:$D$42,ROW('03.Muestra'!$B$8:$B$42)-MIN(ROW('03.Muestra'!$D$8:$D$42))+1,""),ROW()-550)),"")</f>
        <v>8</v>
      </c>
      <c r="B558" s="85" t="str" cm="1">
        <f t="array" ref="B558">IFERROR(INDEX('03.Muestra'!$C$8:$C$42,SMALL(IF("Página Web"='03.Muestra'!$D$8:$D$42,ROW('03.Muestra'!$C$8:$C$42)-MIN(ROW('03.Muestra'!$D$8:$D$42))+1,""),ROW()-550)),"")</f>
        <v>Aviso Legal - Privacidad</v>
      </c>
      <c r="C558" s="85" t="str" cm="1">
        <f t="array" ref="C558">IFERROR(INDEX('03.Muestra'!$F$8:$F$42,SMALL(IF("Página Web"='03.Muestra'!$D$8:$D$42,ROW('03.Muestra'!$F$8:$F$42)-MIN(ROW('03.Muestra'!$D$8:$D$42))+1,""),ROW()-550)),"")</f>
        <v>https://www.comunidad.madrid/hospital/atencionprimaria/aviso-legal-privacidad</v>
      </c>
      <c r="D558" s="99" t="s">
        <v>104</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cm="1">
        <f t="array" ref="A559">IFERROR(INDEX('03.Muestra'!$B$8:$B$42,SMALL(IF("Página Web"='03.Muestra'!$D$8:$D$42,ROW('03.Muestra'!$B$8:$B$42)-MIN(ROW('03.Muestra'!$D$8:$D$42))+1,""),ROW()-550)),"")</f>
        <v>9</v>
      </c>
      <c r="B559" s="85" t="str" cm="1">
        <f t="array" ref="B559">IFERROR(INDEX('03.Muestra'!$C$8:$C$42,SMALL(IF("Página Web"='03.Muestra'!$D$8:$D$42,ROW('03.Muestra'!$C$8:$C$42)-MIN(ROW('03.Muestra'!$D$8:$D$42))+1,""),ROW()-550)),"")</f>
        <v>Mapa Web</v>
      </c>
      <c r="C559" s="85" t="str" cm="1">
        <f t="array" ref="C559">IFERROR(INDEX('03.Muestra'!$F$8:$F$42,SMALL(IF("Página Web"='03.Muestra'!$D$8:$D$42,ROW('03.Muestra'!$F$8:$F$42)-MIN(ROW('03.Muestra'!$D$8:$D$42))+1,""),ROW()-550)),"")</f>
        <v>https://www.comunidad.madrid/hospital/atencionprimaria/sitemap</v>
      </c>
      <c r="D559" s="99" t="s">
        <v>104</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ref="D560:D585" si="29">IF(AND(B560&lt;&gt;"",C560&lt;&gt;""),"N/T","")</f>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https://www.comunidad.madrid/hospital/atencionprimaria/home</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Ciudadanos</v>
      </c>
      <c r="C590" s="85" t="str" cm="1">
        <f t="array" ref="C590">IFERROR(INDEX('03.Muestra'!$F$8:$F$42,SMALL(IF("Página Web"='03.Muestra'!$D$8:$D$42,ROW('03.Muestra'!$F$8:$F$42)-MIN(ROW('03.Muestra'!$D$8:$D$42))+1,""),ROW()-588)),"")</f>
        <v>https://www.comunidad.madrid/hospital/atencionprimaria/ciudadanos</v>
      </c>
      <c r="D590" s="99" t="s">
        <v>94</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9</v>
      </c>
      <c r="J590" s="91">
        <f ca="1">COUNTIF($D589:INDIRECT("$D" &amp;  SUM(ROW()-1,'03.Muestra'!$D$45)-1),J589)</f>
        <v>0</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Profesionales</v>
      </c>
      <c r="C591" s="85" t="str" cm="1">
        <f t="array" ref="C591">IFERROR(INDEX('03.Muestra'!$F$8:$F$42,SMALL(IF("Página Web"='03.Muestra'!$D$8:$D$42,ROW('03.Muestra'!$F$8:$F$42)-MIN(ROW('03.Muestra'!$D$8:$D$42))+1,""),ROW()-588)),"")</f>
        <v>https://www.comunidad.madrid/hospital/atencionprimaria/profesionales</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Comunicación</v>
      </c>
      <c r="C592" s="85" t="str" cm="1">
        <f t="array" ref="C592">IFERROR(INDEX('03.Muestra'!$F$8:$F$42,SMALL(IF("Página Web"='03.Muestra'!$D$8:$D$42,ROW('03.Muestra'!$F$8:$F$42)-MIN(ROW('03.Muestra'!$D$8:$D$42))+1,""),ROW()-588)),"")</f>
        <v>https://www.comunidad.madrid/hospital/atencionprimaria/comunicación</v>
      </c>
      <c r="D592" s="99" t="s">
        <v>94</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Nosotros</v>
      </c>
      <c r="C593" s="85" t="str" cm="1">
        <f t="array" ref="C593">IFERROR(INDEX('03.Muestra'!$F$8:$F$42,SMALL(IF("Página Web"='03.Muestra'!$D$8:$D$42,ROW('03.Muestra'!$F$8:$F$42)-MIN(ROW('03.Muestra'!$D$8:$D$42))+1,""),ROW()-588)),"")</f>
        <v>https://www.comunidad.madrid/hospital/atencionprimaria/nosotros</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Videoteca</v>
      </c>
      <c r="C594" s="85" t="str" cm="1">
        <f t="array" ref="C594">IFERROR(INDEX('03.Muestra'!$F$8:$F$42,SMALL(IF("Página Web"='03.Muestra'!$D$8:$D$42,ROW('03.Muestra'!$F$8:$F$42)-MIN(ROW('03.Muestra'!$D$8:$D$42))+1,""),ROW()-588)),"")</f>
        <v>https://www.comunidad.madrid/hospital/atencionprimaria/videoteca</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Accesibilidad</v>
      </c>
      <c r="C595" s="85" t="str" cm="1">
        <f t="array" ref="C595">IFERROR(INDEX('03.Muestra'!$F$8:$F$42,SMALL(IF("Página Web"='03.Muestra'!$D$8:$D$42,ROW('03.Muestra'!$F$8:$F$42)-MIN(ROW('03.Muestra'!$D$8:$D$42))+1,""),ROW()-588)),"")</f>
        <v>https://www.comunidad.madrid/hospital/atencionprimaria/declaracion-accesibilidad</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cm="1">
        <f t="array" ref="A596">IFERROR(INDEX('03.Muestra'!$B$8:$B$42,SMALL(IF("Página Web"='03.Muestra'!$D$8:$D$42,ROW('03.Muestra'!$B$8:$B$42)-MIN(ROW('03.Muestra'!$D$8:$D$42))+1,""),ROW()-588)),"")</f>
        <v>8</v>
      </c>
      <c r="B596" s="85" t="str" cm="1">
        <f t="array" ref="B596">IFERROR(INDEX('03.Muestra'!$C$8:$C$42,SMALL(IF("Página Web"='03.Muestra'!$D$8:$D$42,ROW('03.Muestra'!$C$8:$C$42)-MIN(ROW('03.Muestra'!$D$8:$D$42))+1,""),ROW()-588)),"")</f>
        <v>Aviso Legal - Privacidad</v>
      </c>
      <c r="C596" s="85" t="str" cm="1">
        <f t="array" ref="C596">IFERROR(INDEX('03.Muestra'!$F$8:$F$42,SMALL(IF("Página Web"='03.Muestra'!$D$8:$D$42,ROW('03.Muestra'!$F$8:$F$42)-MIN(ROW('03.Muestra'!$D$8:$D$42))+1,""),ROW()-588)),"")</f>
        <v>https://www.comunidad.madrid/hospital/atencionprimaria/aviso-legal-privacidad</v>
      </c>
      <c r="D596" s="99" t="s">
        <v>94</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cm="1">
        <f t="array" ref="A597">IFERROR(INDEX('03.Muestra'!$B$8:$B$42,SMALL(IF("Página Web"='03.Muestra'!$D$8:$D$42,ROW('03.Muestra'!$B$8:$B$42)-MIN(ROW('03.Muestra'!$D$8:$D$42))+1,""),ROW()-588)),"")</f>
        <v>9</v>
      </c>
      <c r="B597" s="85" t="str" cm="1">
        <f t="array" ref="B597">IFERROR(INDEX('03.Muestra'!$C$8:$C$42,SMALL(IF("Página Web"='03.Muestra'!$D$8:$D$42,ROW('03.Muestra'!$C$8:$C$42)-MIN(ROW('03.Muestra'!$D$8:$D$42))+1,""),ROW()-588)),"")</f>
        <v>Mapa Web</v>
      </c>
      <c r="C597" s="85" t="str" cm="1">
        <f t="array" ref="C597">IFERROR(INDEX('03.Muestra'!$F$8:$F$42,SMALL(IF("Página Web"='03.Muestra'!$D$8:$D$42,ROW('03.Muestra'!$F$8:$F$42)-MIN(ROW('03.Muestra'!$D$8:$D$42))+1,""),ROW()-588)),"")</f>
        <v>https://www.comunidad.madrid/hospital/atencionprimaria/sitemap</v>
      </c>
      <c r="D597" s="99" t="s">
        <v>94</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ref="D598:D623" si="31">IF(AND(B598&lt;&gt;"",C598&lt;&gt;""),"N/T","")</f>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https://www.comunidad.madrid/hospital/atencionprimaria/home</v>
      </c>
      <c r="D627" s="99" t="s">
        <v>94</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Ciudadanos</v>
      </c>
      <c r="C628" s="85" t="str" cm="1">
        <f t="array" ref="C628">IFERROR(INDEX('03.Muestra'!$F$8:$F$42,SMALL(IF("Página Web"='03.Muestra'!$D$8:$D$42,ROW('03.Muestra'!$F$8:$F$42)-MIN(ROW('03.Muestra'!$D$8:$D$42))+1,""),ROW()-626)),"")</f>
        <v>https://www.comunidad.madrid/hospital/atencionprimaria/ciudadanos</v>
      </c>
      <c r="D628" s="99" t="s">
        <v>94</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6</v>
      </c>
      <c r="J628" s="91">
        <f ca="1">COUNTIF($D627:INDIRECT("$D" &amp;  SUM(ROW()-1,'03.Muestra'!$D$45)-1),J627)</f>
        <v>3</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Profesionales</v>
      </c>
      <c r="C629" s="85" t="str" cm="1">
        <f t="array" ref="C629">IFERROR(INDEX('03.Muestra'!$F$8:$F$42,SMALL(IF("Página Web"='03.Muestra'!$D$8:$D$42,ROW('03.Muestra'!$F$8:$F$42)-MIN(ROW('03.Muestra'!$D$8:$D$42))+1,""),ROW()-626)),"")</f>
        <v>https://www.comunidad.madrid/hospital/atencionprimaria/profesionales</v>
      </c>
      <c r="D629" s="99" t="s">
        <v>94</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Comunicación</v>
      </c>
      <c r="C630" s="85" t="str" cm="1">
        <f t="array" ref="C630">IFERROR(INDEX('03.Muestra'!$F$8:$F$42,SMALL(IF("Página Web"='03.Muestra'!$D$8:$D$42,ROW('03.Muestra'!$F$8:$F$42)-MIN(ROW('03.Muestra'!$D$8:$D$42))+1,""),ROW()-626)),"")</f>
        <v>https://www.comunidad.madrid/hospital/atencionprimaria/comunicación</v>
      </c>
      <c r="D630" s="99" t="s">
        <v>94</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Nosotros</v>
      </c>
      <c r="C631" s="85" t="str" cm="1">
        <f t="array" ref="C631">IFERROR(INDEX('03.Muestra'!$F$8:$F$42,SMALL(IF("Página Web"='03.Muestra'!$D$8:$D$42,ROW('03.Muestra'!$F$8:$F$42)-MIN(ROW('03.Muestra'!$D$8:$D$42))+1,""),ROW()-626)),"")</f>
        <v>https://www.comunidad.madrid/hospital/atencionprimaria/nosotros</v>
      </c>
      <c r="D631" s="99" t="s">
        <v>94</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Videoteca</v>
      </c>
      <c r="C632" s="85" t="str" cm="1">
        <f t="array" ref="C632">IFERROR(INDEX('03.Muestra'!$F$8:$F$42,SMALL(IF("Página Web"='03.Muestra'!$D$8:$D$42,ROW('03.Muestra'!$F$8:$F$42)-MIN(ROW('03.Muestra'!$D$8:$D$42))+1,""),ROW()-626)),"")</f>
        <v>https://www.comunidad.madrid/hospital/atencionprimaria/videoteca</v>
      </c>
      <c r="D632" s="99" t="s">
        <v>94</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Accesibilidad</v>
      </c>
      <c r="C633" s="85" t="str" cm="1">
        <f t="array" ref="C633">IFERROR(INDEX('03.Muestra'!$F$8:$F$42,SMALL(IF("Página Web"='03.Muestra'!$D$8:$D$42,ROW('03.Muestra'!$F$8:$F$42)-MIN(ROW('03.Muestra'!$D$8:$D$42))+1,""),ROW()-626)),"")</f>
        <v>https://www.comunidad.madrid/hospital/atencionprimaria/declaracion-accesibilidad</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cm="1">
        <f t="array" ref="A634">IFERROR(INDEX('03.Muestra'!$B$8:$B$42,SMALL(IF("Página Web"='03.Muestra'!$D$8:$D$42,ROW('03.Muestra'!$B$8:$B$42)-MIN(ROW('03.Muestra'!$D$8:$D$42))+1,""),ROW()-626)),"")</f>
        <v>8</v>
      </c>
      <c r="B634" s="85" t="str" cm="1">
        <f t="array" ref="B634">IFERROR(INDEX('03.Muestra'!$C$8:$C$42,SMALL(IF("Página Web"='03.Muestra'!$D$8:$D$42,ROW('03.Muestra'!$C$8:$C$42)-MIN(ROW('03.Muestra'!$D$8:$D$42))+1,""),ROW()-626)),"")</f>
        <v>Aviso Legal - Privacidad</v>
      </c>
      <c r="C634" s="85" t="str" cm="1">
        <f t="array" ref="C634">IFERROR(INDEX('03.Muestra'!$F$8:$F$42,SMALL(IF("Página Web"='03.Muestra'!$D$8:$D$42,ROW('03.Muestra'!$F$8:$F$42)-MIN(ROW('03.Muestra'!$D$8:$D$42))+1,""),ROW()-626)),"")</f>
        <v>https://www.comunidad.madrid/hospital/atencionprimaria/aviso-legal-privacidad</v>
      </c>
      <c r="D634" s="99" t="s">
        <v>92</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cm="1">
        <f t="array" ref="A635">IFERROR(INDEX('03.Muestra'!$B$8:$B$42,SMALL(IF("Página Web"='03.Muestra'!$D$8:$D$42,ROW('03.Muestra'!$B$8:$B$42)-MIN(ROW('03.Muestra'!$D$8:$D$42))+1,""),ROW()-626)),"")</f>
        <v>9</v>
      </c>
      <c r="B635" s="85" t="str" cm="1">
        <f t="array" ref="B635">IFERROR(INDEX('03.Muestra'!$C$8:$C$42,SMALL(IF("Página Web"='03.Muestra'!$D$8:$D$42,ROW('03.Muestra'!$C$8:$C$42)-MIN(ROW('03.Muestra'!$D$8:$D$42))+1,""),ROW()-626)),"")</f>
        <v>Mapa Web</v>
      </c>
      <c r="C635" s="85" t="str" cm="1">
        <f t="array" ref="C635">IFERROR(INDEX('03.Muestra'!$F$8:$F$42,SMALL(IF("Página Web"='03.Muestra'!$D$8:$D$42,ROW('03.Muestra'!$F$8:$F$42)-MIN(ROW('03.Muestra'!$D$8:$D$42))+1,""),ROW()-626)),"")</f>
        <v>https://www.comunidad.madrid/hospital/atencionprimaria/sitemap</v>
      </c>
      <c r="D635" s="99" t="s">
        <v>92</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ref="D636:D661" si="33">IF(AND(B636&lt;&gt;"",C636&lt;&gt;""),"N/T","")</f>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https://www.comunidad.madrid/hospital/atencionprimaria/home</v>
      </c>
      <c r="D665" s="99" t="s">
        <v>92</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Ciudadanos</v>
      </c>
      <c r="C666" s="85" t="str" cm="1">
        <f t="array" ref="C666">IFERROR(INDEX('03.Muestra'!$F$8:$F$42,SMALL(IF("Página Web"='03.Muestra'!$D$8:$D$42,ROW('03.Muestra'!$F$8:$F$42)-MIN(ROW('03.Muestra'!$D$8:$D$42))+1,""),ROW()-664)),"")</f>
        <v>https://www.comunidad.madrid/hospital/atencionprimaria/ciudadanos</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9</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Profesionales</v>
      </c>
      <c r="C667" s="85" t="str" cm="1">
        <f t="array" ref="C667">IFERROR(INDEX('03.Muestra'!$F$8:$F$42,SMALL(IF("Página Web"='03.Muestra'!$D$8:$D$42,ROW('03.Muestra'!$F$8:$F$42)-MIN(ROW('03.Muestra'!$D$8:$D$42))+1,""),ROW()-664)),"")</f>
        <v>https://www.comunidad.madrid/hospital/atencionprimaria/profesionales</v>
      </c>
      <c r="D667" s="99" t="s">
        <v>92</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Comunicación</v>
      </c>
      <c r="C668" s="85" t="str" cm="1">
        <f t="array" ref="C668">IFERROR(INDEX('03.Muestra'!$F$8:$F$42,SMALL(IF("Página Web"='03.Muestra'!$D$8:$D$42,ROW('03.Muestra'!$F$8:$F$42)-MIN(ROW('03.Muestra'!$D$8:$D$42))+1,""),ROW()-664)),"")</f>
        <v>https://www.comunidad.madrid/hospital/atencionprimaria/comunicación</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Nosotros</v>
      </c>
      <c r="C669" s="85" t="str" cm="1">
        <f t="array" ref="C669">IFERROR(INDEX('03.Muestra'!$F$8:$F$42,SMALL(IF("Página Web"='03.Muestra'!$D$8:$D$42,ROW('03.Muestra'!$F$8:$F$42)-MIN(ROW('03.Muestra'!$D$8:$D$42))+1,""),ROW()-664)),"")</f>
        <v>https://www.comunidad.madrid/hospital/atencionprimaria/nosotros</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Videoteca</v>
      </c>
      <c r="C670" s="85" t="str" cm="1">
        <f t="array" ref="C670">IFERROR(INDEX('03.Muestra'!$F$8:$F$42,SMALL(IF("Página Web"='03.Muestra'!$D$8:$D$42,ROW('03.Muestra'!$F$8:$F$42)-MIN(ROW('03.Muestra'!$D$8:$D$42))+1,""),ROW()-664)),"")</f>
        <v>https://www.comunidad.madrid/hospital/atencionprimaria/videoteca</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Accesibilidad</v>
      </c>
      <c r="C671" s="85" t="str" cm="1">
        <f t="array" ref="C671">IFERROR(INDEX('03.Muestra'!$F$8:$F$42,SMALL(IF("Página Web"='03.Muestra'!$D$8:$D$42,ROW('03.Muestra'!$F$8:$F$42)-MIN(ROW('03.Muestra'!$D$8:$D$42))+1,""),ROW()-664)),"")</f>
        <v>https://www.comunidad.madrid/hospital/atencionprimaria/declaracion-accesibilidad</v>
      </c>
      <c r="D671" s="99" t="s">
        <v>92</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cm="1">
        <f t="array" ref="A672">IFERROR(INDEX('03.Muestra'!$B$8:$B$42,SMALL(IF("Página Web"='03.Muestra'!$D$8:$D$42,ROW('03.Muestra'!$B$8:$B$42)-MIN(ROW('03.Muestra'!$D$8:$D$42))+1,""),ROW()-664)),"")</f>
        <v>8</v>
      </c>
      <c r="B672" s="85" t="str" cm="1">
        <f t="array" ref="B672">IFERROR(INDEX('03.Muestra'!$C$8:$C$42,SMALL(IF("Página Web"='03.Muestra'!$D$8:$D$42,ROW('03.Muestra'!$C$8:$C$42)-MIN(ROW('03.Muestra'!$D$8:$D$42))+1,""),ROW()-664)),"")</f>
        <v>Aviso Legal - Privacidad</v>
      </c>
      <c r="C672" s="85" t="str" cm="1">
        <f t="array" ref="C672">IFERROR(INDEX('03.Muestra'!$F$8:$F$42,SMALL(IF("Página Web"='03.Muestra'!$D$8:$D$42,ROW('03.Muestra'!$F$8:$F$42)-MIN(ROW('03.Muestra'!$D$8:$D$42))+1,""),ROW()-664)),"")</f>
        <v>https://www.comunidad.madrid/hospital/atencionprimaria/aviso-legal-privacidad</v>
      </c>
      <c r="D672" s="99" t="s">
        <v>92</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cm="1">
        <f t="array" ref="A673">IFERROR(INDEX('03.Muestra'!$B$8:$B$42,SMALL(IF("Página Web"='03.Muestra'!$D$8:$D$42,ROW('03.Muestra'!$B$8:$B$42)-MIN(ROW('03.Muestra'!$D$8:$D$42))+1,""),ROW()-664)),"")</f>
        <v>9</v>
      </c>
      <c r="B673" s="85" t="str" cm="1">
        <f t="array" ref="B673">IFERROR(INDEX('03.Muestra'!$C$8:$C$42,SMALL(IF("Página Web"='03.Muestra'!$D$8:$D$42,ROW('03.Muestra'!$C$8:$C$42)-MIN(ROW('03.Muestra'!$D$8:$D$42))+1,""),ROW()-664)),"")</f>
        <v>Mapa Web</v>
      </c>
      <c r="C673" s="85" t="str" cm="1">
        <f t="array" ref="C673">IFERROR(INDEX('03.Muestra'!$F$8:$F$42,SMALL(IF("Página Web"='03.Muestra'!$D$8:$D$42,ROW('03.Muestra'!$F$8:$F$42)-MIN(ROW('03.Muestra'!$D$8:$D$42))+1,""),ROW()-664)),"")</f>
        <v>https://www.comunidad.madrid/hospital/atencionprimaria/sitemap</v>
      </c>
      <c r="D673" s="99" t="s">
        <v>92</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ref="D674:D699" si="35">IF(AND(B674&lt;&gt;"",C674&lt;&gt;""),"N/T","")</f>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https://www.comunidad.madrid/hospital/atencionprimaria/home</v>
      </c>
      <c r="D703" s="99" t="s">
        <v>104</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Ciudadanos</v>
      </c>
      <c r="C704" s="85" t="str" cm="1">
        <f t="array" ref="C704">IFERROR(INDEX('03.Muestra'!$F$8:$F$42,SMALL(IF("Página Web"='03.Muestra'!$D$8:$D$42,ROW('03.Muestra'!$F$8:$F$42)-MIN(ROW('03.Muestra'!$D$8:$D$42))+1,""),ROW()-702)),"")</f>
        <v>https://www.comunidad.madrid/hospital/atencionprimaria/ciudadanos</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9</v>
      </c>
      <c r="I704" s="91">
        <f ca="1">COUNTIF($D703:INDIRECT("$D" &amp;  SUM(ROW()-1,'03.Muestra'!$D$45)-1),I703)</f>
        <v>0</v>
      </c>
      <c r="J704" s="91">
        <f ca="1">COUNTIF($D703:INDIRECT("$D" &amp;  SUM(ROW()-1,'03.Muestra'!$D$45)-1),J703)</f>
        <v>0</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Profesionales</v>
      </c>
      <c r="C705" s="85" t="str" cm="1">
        <f t="array" ref="C705">IFERROR(INDEX('03.Muestra'!$F$8:$F$42,SMALL(IF("Página Web"='03.Muestra'!$D$8:$D$42,ROW('03.Muestra'!$F$8:$F$42)-MIN(ROW('03.Muestra'!$D$8:$D$42))+1,""),ROW()-702)),"")</f>
        <v>https://www.comunidad.madrid/hospital/atencionprimaria/profesionales</v>
      </c>
      <c r="D705" s="99" t="s">
        <v>104</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Comunicación</v>
      </c>
      <c r="C706" s="85" t="str" cm="1">
        <f t="array" ref="C706">IFERROR(INDEX('03.Muestra'!$F$8:$F$42,SMALL(IF("Página Web"='03.Muestra'!$D$8:$D$42,ROW('03.Muestra'!$F$8:$F$42)-MIN(ROW('03.Muestra'!$D$8:$D$42))+1,""),ROW()-702)),"")</f>
        <v>https://www.comunidad.madrid/hospital/atencionprimaria/comunicación</v>
      </c>
      <c r="D706" s="99" t="s">
        <v>104</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Nosotros</v>
      </c>
      <c r="C707" s="85" t="str" cm="1">
        <f t="array" ref="C707">IFERROR(INDEX('03.Muestra'!$F$8:$F$42,SMALL(IF("Página Web"='03.Muestra'!$D$8:$D$42,ROW('03.Muestra'!$F$8:$F$42)-MIN(ROW('03.Muestra'!$D$8:$D$42))+1,""),ROW()-702)),"")</f>
        <v>https://www.comunidad.madrid/hospital/atencionprimaria/nosotros</v>
      </c>
      <c r="D707" s="99" t="s">
        <v>104</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Videoteca</v>
      </c>
      <c r="C708" s="85" t="str" cm="1">
        <f t="array" ref="C708">IFERROR(INDEX('03.Muestra'!$F$8:$F$42,SMALL(IF("Página Web"='03.Muestra'!$D$8:$D$42,ROW('03.Muestra'!$F$8:$F$42)-MIN(ROW('03.Muestra'!$D$8:$D$42))+1,""),ROW()-702)),"")</f>
        <v>https://www.comunidad.madrid/hospital/atencionprimaria/videoteca</v>
      </c>
      <c r="D708" s="99" t="s">
        <v>104</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Accesibilidad</v>
      </c>
      <c r="C709" s="85" t="str" cm="1">
        <f t="array" ref="C709">IFERROR(INDEX('03.Muestra'!$F$8:$F$42,SMALL(IF("Página Web"='03.Muestra'!$D$8:$D$42,ROW('03.Muestra'!$F$8:$F$42)-MIN(ROW('03.Muestra'!$D$8:$D$42))+1,""),ROW()-702)),"")</f>
        <v>https://www.comunidad.madrid/hospital/atencionprimaria/declaracion-accesibilidad</v>
      </c>
      <c r="D709" s="99" t="s">
        <v>104</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cm="1">
        <f t="array" ref="A710">IFERROR(INDEX('03.Muestra'!$B$8:$B$42,SMALL(IF("Página Web"='03.Muestra'!$D$8:$D$42,ROW('03.Muestra'!$B$8:$B$42)-MIN(ROW('03.Muestra'!$D$8:$D$42))+1,""),ROW()-702)),"")</f>
        <v>8</v>
      </c>
      <c r="B710" s="85" t="str" cm="1">
        <f t="array" ref="B710">IFERROR(INDEX('03.Muestra'!$C$8:$C$42,SMALL(IF("Página Web"='03.Muestra'!$D$8:$D$42,ROW('03.Muestra'!$C$8:$C$42)-MIN(ROW('03.Muestra'!$D$8:$D$42))+1,""),ROW()-702)),"")</f>
        <v>Aviso Legal - Privacidad</v>
      </c>
      <c r="C710" s="85" t="str" cm="1">
        <f t="array" ref="C710">IFERROR(INDEX('03.Muestra'!$F$8:$F$42,SMALL(IF("Página Web"='03.Muestra'!$D$8:$D$42,ROW('03.Muestra'!$F$8:$F$42)-MIN(ROW('03.Muestra'!$D$8:$D$42))+1,""),ROW()-702)),"")</f>
        <v>https://www.comunidad.madrid/hospital/atencionprimaria/aviso-legal-privacidad</v>
      </c>
      <c r="D710" s="99" t="s">
        <v>104</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cm="1">
        <f t="array" ref="A711">IFERROR(INDEX('03.Muestra'!$B$8:$B$42,SMALL(IF("Página Web"='03.Muestra'!$D$8:$D$42,ROW('03.Muestra'!$B$8:$B$42)-MIN(ROW('03.Muestra'!$D$8:$D$42))+1,""),ROW()-702)),"")</f>
        <v>9</v>
      </c>
      <c r="B711" s="85" t="str" cm="1">
        <f t="array" ref="B711">IFERROR(INDEX('03.Muestra'!$C$8:$C$42,SMALL(IF("Página Web"='03.Muestra'!$D$8:$D$42,ROW('03.Muestra'!$C$8:$C$42)-MIN(ROW('03.Muestra'!$D$8:$D$42))+1,""),ROW()-702)),"")</f>
        <v>Mapa Web</v>
      </c>
      <c r="C711" s="85" t="str" cm="1">
        <f t="array" ref="C711">IFERROR(INDEX('03.Muestra'!$F$8:$F$42,SMALL(IF("Página Web"='03.Muestra'!$D$8:$D$42,ROW('03.Muestra'!$F$8:$F$42)-MIN(ROW('03.Muestra'!$D$8:$D$42))+1,""),ROW()-702)),"")</f>
        <v>https://www.comunidad.madrid/hospital/atencionprimaria/sitemap</v>
      </c>
      <c r="D711" s="99" t="s">
        <v>104</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ref="D712:D737" si="37">IF(AND(B712&lt;&gt;"",C712&lt;&gt;""),"N/T","")</f>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https://www.comunidad.madrid/hospital/atencionprimaria/home</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Ciudadanos</v>
      </c>
      <c r="C742" s="85" t="str" cm="1">
        <f t="array" ref="C742">IFERROR(INDEX('03.Muestra'!$F$8:$F$42,SMALL(IF("Página Web"='03.Muestra'!$D$8:$D$42,ROW('03.Muestra'!$F$8:$F$42)-MIN(ROW('03.Muestra'!$D$8:$D$42))+1,""),ROW()-740)),"")</f>
        <v>https://www.comunidad.madrid/hospital/atencionprimaria/ciudadanos</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9</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Profesionales</v>
      </c>
      <c r="C743" s="85" t="str" cm="1">
        <f t="array" ref="C743">IFERROR(INDEX('03.Muestra'!$F$8:$F$42,SMALL(IF("Página Web"='03.Muestra'!$D$8:$D$42,ROW('03.Muestra'!$F$8:$F$42)-MIN(ROW('03.Muestra'!$D$8:$D$42))+1,""),ROW()-740)),"")</f>
        <v>https://www.comunidad.madrid/hospital/atencionprimaria/profesionales</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Comunicación</v>
      </c>
      <c r="C744" s="85" t="str" cm="1">
        <f t="array" ref="C744">IFERROR(INDEX('03.Muestra'!$F$8:$F$42,SMALL(IF("Página Web"='03.Muestra'!$D$8:$D$42,ROW('03.Muestra'!$F$8:$F$42)-MIN(ROW('03.Muestra'!$D$8:$D$42))+1,""),ROW()-740)),"")</f>
        <v>https://www.comunidad.madrid/hospital/atencionprimaria/comunicación</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Nosotros</v>
      </c>
      <c r="C745" s="85" t="str" cm="1">
        <f t="array" ref="C745">IFERROR(INDEX('03.Muestra'!$F$8:$F$42,SMALL(IF("Página Web"='03.Muestra'!$D$8:$D$42,ROW('03.Muestra'!$F$8:$F$42)-MIN(ROW('03.Muestra'!$D$8:$D$42))+1,""),ROW()-740)),"")</f>
        <v>https://www.comunidad.madrid/hospital/atencionprimaria/nosotros</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Videoteca</v>
      </c>
      <c r="C746" s="85" t="str" cm="1">
        <f t="array" ref="C746">IFERROR(INDEX('03.Muestra'!$F$8:$F$42,SMALL(IF("Página Web"='03.Muestra'!$D$8:$D$42,ROW('03.Muestra'!$F$8:$F$42)-MIN(ROW('03.Muestra'!$D$8:$D$42))+1,""),ROW()-740)),"")</f>
        <v>https://www.comunidad.madrid/hospital/atencionprimaria/videoteca</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Accesibilidad</v>
      </c>
      <c r="C747" s="85" t="str" cm="1">
        <f t="array" ref="C747">IFERROR(INDEX('03.Muestra'!$F$8:$F$42,SMALL(IF("Página Web"='03.Muestra'!$D$8:$D$42,ROW('03.Muestra'!$F$8:$F$42)-MIN(ROW('03.Muestra'!$D$8:$D$42))+1,""),ROW()-740)),"")</f>
        <v>https://www.comunidad.madrid/hospital/atencionprimaria/declaracion-accesibilidad</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cm="1">
        <f t="array" ref="A748">IFERROR(INDEX('03.Muestra'!$B$8:$B$42,SMALL(IF("Página Web"='03.Muestra'!$D$8:$D$42,ROW('03.Muestra'!$B$8:$B$42)-MIN(ROW('03.Muestra'!$D$8:$D$42))+1,""),ROW()-740)),"")</f>
        <v>8</v>
      </c>
      <c r="B748" s="85" t="str" cm="1">
        <f t="array" ref="B748">IFERROR(INDEX('03.Muestra'!$C$8:$C$42,SMALL(IF("Página Web"='03.Muestra'!$D$8:$D$42,ROW('03.Muestra'!$C$8:$C$42)-MIN(ROW('03.Muestra'!$D$8:$D$42))+1,""),ROW()-740)),"")</f>
        <v>Aviso Legal - Privacidad</v>
      </c>
      <c r="C748" s="85" t="str" cm="1">
        <f t="array" ref="C748">IFERROR(INDEX('03.Muestra'!$F$8:$F$42,SMALL(IF("Página Web"='03.Muestra'!$D$8:$D$42,ROW('03.Muestra'!$F$8:$F$42)-MIN(ROW('03.Muestra'!$D$8:$D$42))+1,""),ROW()-740)),"")</f>
        <v>https://www.comunidad.madrid/hospital/atencionprimaria/aviso-legal-privacidad</v>
      </c>
      <c r="D748" s="99" t="s">
        <v>94</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cm="1">
        <f t="array" ref="A749">IFERROR(INDEX('03.Muestra'!$B$8:$B$42,SMALL(IF("Página Web"='03.Muestra'!$D$8:$D$42,ROW('03.Muestra'!$B$8:$B$42)-MIN(ROW('03.Muestra'!$D$8:$D$42))+1,""),ROW()-740)),"")</f>
        <v>9</v>
      </c>
      <c r="B749" s="85" t="str" cm="1">
        <f t="array" ref="B749">IFERROR(INDEX('03.Muestra'!$C$8:$C$42,SMALL(IF("Página Web"='03.Muestra'!$D$8:$D$42,ROW('03.Muestra'!$C$8:$C$42)-MIN(ROW('03.Muestra'!$D$8:$D$42))+1,""),ROW()-740)),"")</f>
        <v>Mapa Web</v>
      </c>
      <c r="C749" s="85" t="str" cm="1">
        <f t="array" ref="C749">IFERROR(INDEX('03.Muestra'!$F$8:$F$42,SMALL(IF("Página Web"='03.Muestra'!$D$8:$D$42,ROW('03.Muestra'!$F$8:$F$42)-MIN(ROW('03.Muestra'!$D$8:$D$42))+1,""),ROW()-740)),"")</f>
        <v>https://www.comunidad.madrid/hospital/atencionprimaria/sitemap</v>
      </c>
      <c r="D749" s="99" t="s">
        <v>94</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ref="D750:D775" si="39">IF(AND(B750&lt;&gt;"",C750&lt;&gt;""),"N/T","")</f>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https://www.comunidad.madrid/hospital/atencionprimaria/home</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Ciudadanos</v>
      </c>
      <c r="C780" s="85" t="str" cm="1">
        <f t="array" ref="C780">IFERROR(INDEX('03.Muestra'!$F$8:$F$42,SMALL(IF("Página Web"='03.Muestra'!$D$8:$D$42,ROW('03.Muestra'!$F$8:$F$42)-MIN(ROW('03.Muestra'!$D$8:$D$42))+1,""),ROW()-778)),"")</f>
        <v>https://www.comunidad.madrid/hospital/atencionprimaria/ciudadanos</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9</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Profesionales</v>
      </c>
      <c r="C781" s="85" t="str" cm="1">
        <f t="array" ref="C781">IFERROR(INDEX('03.Muestra'!$F$8:$F$42,SMALL(IF("Página Web"='03.Muestra'!$D$8:$D$42,ROW('03.Muestra'!$F$8:$F$42)-MIN(ROW('03.Muestra'!$D$8:$D$42))+1,""),ROW()-778)),"")</f>
        <v>https://www.comunidad.madrid/hospital/atencionprimaria/profesionales</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Comunicación</v>
      </c>
      <c r="C782" s="85" t="str" cm="1">
        <f t="array" ref="C782">IFERROR(INDEX('03.Muestra'!$F$8:$F$42,SMALL(IF("Página Web"='03.Muestra'!$D$8:$D$42,ROW('03.Muestra'!$F$8:$F$42)-MIN(ROW('03.Muestra'!$D$8:$D$42))+1,""),ROW()-778)),"")</f>
        <v>https://www.comunidad.madrid/hospital/atencionprimaria/comunicación</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Nosotros</v>
      </c>
      <c r="C783" s="85" t="str" cm="1">
        <f t="array" ref="C783">IFERROR(INDEX('03.Muestra'!$F$8:$F$42,SMALL(IF("Página Web"='03.Muestra'!$D$8:$D$42,ROW('03.Muestra'!$F$8:$F$42)-MIN(ROW('03.Muestra'!$D$8:$D$42))+1,""),ROW()-778)),"")</f>
        <v>https://www.comunidad.madrid/hospital/atencionprimaria/nosotros</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Videoteca</v>
      </c>
      <c r="C784" s="85" t="str" cm="1">
        <f t="array" ref="C784">IFERROR(INDEX('03.Muestra'!$F$8:$F$42,SMALL(IF("Página Web"='03.Muestra'!$D$8:$D$42,ROW('03.Muestra'!$F$8:$F$42)-MIN(ROW('03.Muestra'!$D$8:$D$42))+1,""),ROW()-778)),"")</f>
        <v>https://www.comunidad.madrid/hospital/atencionprimaria/videoteca</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Accesibilidad</v>
      </c>
      <c r="C785" s="85" t="str" cm="1">
        <f t="array" ref="C785">IFERROR(INDEX('03.Muestra'!$F$8:$F$42,SMALL(IF("Página Web"='03.Muestra'!$D$8:$D$42,ROW('03.Muestra'!$F$8:$F$42)-MIN(ROW('03.Muestra'!$D$8:$D$42))+1,""),ROW()-778)),"")</f>
        <v>https://www.comunidad.madrid/hospital/atencionprimaria/declaracion-accesibilidad</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cm="1">
        <f t="array" ref="A786">IFERROR(INDEX('03.Muestra'!$B$8:$B$42,SMALL(IF("Página Web"='03.Muestra'!$D$8:$D$42,ROW('03.Muestra'!$B$8:$B$42)-MIN(ROW('03.Muestra'!$D$8:$D$42))+1,""),ROW()-778)),"")</f>
        <v>8</v>
      </c>
      <c r="B786" s="85" t="str" cm="1">
        <f t="array" ref="B786">IFERROR(INDEX('03.Muestra'!$C$8:$C$42,SMALL(IF("Página Web"='03.Muestra'!$D$8:$D$42,ROW('03.Muestra'!$C$8:$C$42)-MIN(ROW('03.Muestra'!$D$8:$D$42))+1,""),ROW()-778)),"")</f>
        <v>Aviso Legal - Privacidad</v>
      </c>
      <c r="C786" s="85" t="str" cm="1">
        <f t="array" ref="C786">IFERROR(INDEX('03.Muestra'!$F$8:$F$42,SMALL(IF("Página Web"='03.Muestra'!$D$8:$D$42,ROW('03.Muestra'!$F$8:$F$42)-MIN(ROW('03.Muestra'!$D$8:$D$42))+1,""),ROW()-778)),"")</f>
        <v>https://www.comunidad.madrid/hospital/atencionprimaria/aviso-legal-privacidad</v>
      </c>
      <c r="D786" s="99" t="s">
        <v>92</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cm="1">
        <f t="array" ref="A787">IFERROR(INDEX('03.Muestra'!$B$8:$B$42,SMALL(IF("Página Web"='03.Muestra'!$D$8:$D$42,ROW('03.Muestra'!$B$8:$B$42)-MIN(ROW('03.Muestra'!$D$8:$D$42))+1,""),ROW()-778)),"")</f>
        <v>9</v>
      </c>
      <c r="B787" s="85" t="str" cm="1">
        <f t="array" ref="B787">IFERROR(INDEX('03.Muestra'!$C$8:$C$42,SMALL(IF("Página Web"='03.Muestra'!$D$8:$D$42,ROW('03.Muestra'!$C$8:$C$42)-MIN(ROW('03.Muestra'!$D$8:$D$42))+1,""),ROW()-778)),"")</f>
        <v>Mapa Web</v>
      </c>
      <c r="C787" s="85" t="str" cm="1">
        <f t="array" ref="C787">IFERROR(INDEX('03.Muestra'!$F$8:$F$42,SMALL(IF("Página Web"='03.Muestra'!$D$8:$D$42,ROW('03.Muestra'!$F$8:$F$42)-MIN(ROW('03.Muestra'!$D$8:$D$42))+1,""),ROW()-778)),"")</f>
        <v>https://www.comunidad.madrid/hospital/atencionprimaria/sitemap</v>
      </c>
      <c r="D787" s="99" t="s">
        <v>92</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ref="D788:D813" si="41">IF(AND(B788&lt;&gt;"",C788&lt;&gt;""),"N/T","")</f>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https://www.comunidad.madrid/hospital/atencionprimaria/home</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Ciudadanos</v>
      </c>
      <c r="C818" s="85" t="str" cm="1">
        <f t="array" ref="C818">IFERROR(INDEX('03.Muestra'!$F$8:$F$42,SMALL(IF("Página Web"='03.Muestra'!$D$8:$D$42,ROW('03.Muestra'!$F$8:$F$42)-MIN(ROW('03.Muestra'!$D$8:$D$42))+1,""),ROW()-816)),"")</f>
        <v>https://www.comunidad.madrid/hospital/atencionprimaria/ciudadanos</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9</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Profesionales</v>
      </c>
      <c r="C819" s="85" t="str" cm="1">
        <f t="array" ref="C819">IFERROR(INDEX('03.Muestra'!$F$8:$F$42,SMALL(IF("Página Web"='03.Muestra'!$D$8:$D$42,ROW('03.Muestra'!$F$8:$F$42)-MIN(ROW('03.Muestra'!$D$8:$D$42))+1,""),ROW()-816)),"")</f>
        <v>https://www.comunidad.madrid/hospital/atencionprimaria/profesionales</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Comunicación</v>
      </c>
      <c r="C820" s="85" t="str" cm="1">
        <f t="array" ref="C820">IFERROR(INDEX('03.Muestra'!$F$8:$F$42,SMALL(IF("Página Web"='03.Muestra'!$D$8:$D$42,ROW('03.Muestra'!$F$8:$F$42)-MIN(ROW('03.Muestra'!$D$8:$D$42))+1,""),ROW()-816)),"")</f>
        <v>https://www.comunidad.madrid/hospital/atencionprimaria/comunicación</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Nosotros</v>
      </c>
      <c r="C821" s="85" t="str" cm="1">
        <f t="array" ref="C821">IFERROR(INDEX('03.Muestra'!$F$8:$F$42,SMALL(IF("Página Web"='03.Muestra'!$D$8:$D$42,ROW('03.Muestra'!$F$8:$F$42)-MIN(ROW('03.Muestra'!$D$8:$D$42))+1,""),ROW()-816)),"")</f>
        <v>https://www.comunidad.madrid/hospital/atencionprimaria/nosotros</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Videoteca</v>
      </c>
      <c r="C822" s="85" t="str" cm="1">
        <f t="array" ref="C822">IFERROR(INDEX('03.Muestra'!$F$8:$F$42,SMALL(IF("Página Web"='03.Muestra'!$D$8:$D$42,ROW('03.Muestra'!$F$8:$F$42)-MIN(ROW('03.Muestra'!$D$8:$D$42))+1,""),ROW()-816)),"")</f>
        <v>https://www.comunidad.madrid/hospital/atencionprimaria/videoteca</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Accesibilidad</v>
      </c>
      <c r="C823" s="85" t="str" cm="1">
        <f t="array" ref="C823">IFERROR(INDEX('03.Muestra'!$F$8:$F$42,SMALL(IF("Página Web"='03.Muestra'!$D$8:$D$42,ROW('03.Muestra'!$F$8:$F$42)-MIN(ROW('03.Muestra'!$D$8:$D$42))+1,""),ROW()-816)),"")</f>
        <v>https://www.comunidad.madrid/hospital/atencionprimaria/declaracion-accesibilidad</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cm="1">
        <f t="array" ref="A824">IFERROR(INDEX('03.Muestra'!$B$8:$B$42,SMALL(IF("Página Web"='03.Muestra'!$D$8:$D$42,ROW('03.Muestra'!$B$8:$B$42)-MIN(ROW('03.Muestra'!$D$8:$D$42))+1,""),ROW()-816)),"")</f>
        <v>8</v>
      </c>
      <c r="B824" s="85" t="str" cm="1">
        <f t="array" ref="B824">IFERROR(INDEX('03.Muestra'!$C$8:$C$42,SMALL(IF("Página Web"='03.Muestra'!$D$8:$D$42,ROW('03.Muestra'!$C$8:$C$42)-MIN(ROW('03.Muestra'!$D$8:$D$42))+1,""),ROW()-816)),"")</f>
        <v>Aviso Legal - Privacidad</v>
      </c>
      <c r="C824" s="85" t="str" cm="1">
        <f t="array" ref="C824">IFERROR(INDEX('03.Muestra'!$F$8:$F$42,SMALL(IF("Página Web"='03.Muestra'!$D$8:$D$42,ROW('03.Muestra'!$F$8:$F$42)-MIN(ROW('03.Muestra'!$D$8:$D$42))+1,""),ROW()-816)),"")</f>
        <v>https://www.comunidad.madrid/hospital/atencionprimaria/aviso-legal-privacidad</v>
      </c>
      <c r="D824" s="99" t="s">
        <v>104</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cm="1">
        <f t="array" ref="A825">IFERROR(INDEX('03.Muestra'!$B$8:$B$42,SMALL(IF("Página Web"='03.Muestra'!$D$8:$D$42,ROW('03.Muestra'!$B$8:$B$42)-MIN(ROW('03.Muestra'!$D$8:$D$42))+1,""),ROW()-816)),"")</f>
        <v>9</v>
      </c>
      <c r="B825" s="85" t="str" cm="1">
        <f t="array" ref="B825">IFERROR(INDEX('03.Muestra'!$C$8:$C$42,SMALL(IF("Página Web"='03.Muestra'!$D$8:$D$42,ROW('03.Muestra'!$C$8:$C$42)-MIN(ROW('03.Muestra'!$D$8:$D$42))+1,""),ROW()-816)),"")</f>
        <v>Mapa Web</v>
      </c>
      <c r="C825" s="85" t="str" cm="1">
        <f t="array" ref="C825">IFERROR(INDEX('03.Muestra'!$F$8:$F$42,SMALL(IF("Página Web"='03.Muestra'!$D$8:$D$42,ROW('03.Muestra'!$F$8:$F$42)-MIN(ROW('03.Muestra'!$D$8:$D$42))+1,""),ROW()-816)),"")</f>
        <v>https://www.comunidad.madrid/hospital/atencionprimaria/sitemap</v>
      </c>
      <c r="D825" s="99" t="s">
        <v>104</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ref="D826:D851" si="43">IF(AND(B826&lt;&gt;"",C826&lt;&gt;""),"N/T","")</f>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https://www.comunidad.madrid/hospital/atencionprimaria/home</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Ciudadanos</v>
      </c>
      <c r="C856" s="85" t="str" cm="1">
        <f t="array" ref="C856">IFERROR(INDEX('03.Muestra'!$F$8:$F$42,SMALL(IF("Página Web"='03.Muestra'!$D$8:$D$42,ROW('03.Muestra'!$F$8:$F$42)-MIN(ROW('03.Muestra'!$D$8:$D$42))+1,""),ROW()-854)),"")</f>
        <v>https://www.comunidad.madrid/hospital/atencionprimaria/ciudadanos</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9</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Profesionales</v>
      </c>
      <c r="C857" s="85" t="str" cm="1">
        <f t="array" ref="C857">IFERROR(INDEX('03.Muestra'!$F$8:$F$42,SMALL(IF("Página Web"='03.Muestra'!$D$8:$D$42,ROW('03.Muestra'!$F$8:$F$42)-MIN(ROW('03.Muestra'!$D$8:$D$42))+1,""),ROW()-854)),"")</f>
        <v>https://www.comunidad.madrid/hospital/atencionprimaria/profesionales</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Comunicación</v>
      </c>
      <c r="C858" s="85" t="str" cm="1">
        <f t="array" ref="C858">IFERROR(INDEX('03.Muestra'!$F$8:$F$42,SMALL(IF("Página Web"='03.Muestra'!$D$8:$D$42,ROW('03.Muestra'!$F$8:$F$42)-MIN(ROW('03.Muestra'!$D$8:$D$42))+1,""),ROW()-854)),"")</f>
        <v>https://www.comunidad.madrid/hospital/atencionprimaria/comunicación</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Nosotros</v>
      </c>
      <c r="C859" s="85" t="str" cm="1">
        <f t="array" ref="C859">IFERROR(INDEX('03.Muestra'!$F$8:$F$42,SMALL(IF("Página Web"='03.Muestra'!$D$8:$D$42,ROW('03.Muestra'!$F$8:$F$42)-MIN(ROW('03.Muestra'!$D$8:$D$42))+1,""),ROW()-854)),"")</f>
        <v>https://www.comunidad.madrid/hospital/atencionprimaria/nosotros</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Videoteca</v>
      </c>
      <c r="C860" s="85" t="str" cm="1">
        <f t="array" ref="C860">IFERROR(INDEX('03.Muestra'!$F$8:$F$42,SMALL(IF("Página Web"='03.Muestra'!$D$8:$D$42,ROW('03.Muestra'!$F$8:$F$42)-MIN(ROW('03.Muestra'!$D$8:$D$42))+1,""),ROW()-854)),"")</f>
        <v>https://www.comunidad.madrid/hospital/atencionprimaria/videoteca</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Accesibilidad</v>
      </c>
      <c r="C861" s="85" t="str" cm="1">
        <f t="array" ref="C861">IFERROR(INDEX('03.Muestra'!$F$8:$F$42,SMALL(IF("Página Web"='03.Muestra'!$D$8:$D$42,ROW('03.Muestra'!$F$8:$F$42)-MIN(ROW('03.Muestra'!$D$8:$D$42))+1,""),ROW()-854)),"")</f>
        <v>https://www.comunidad.madrid/hospital/atencionprimaria/declaracion-accesibilidad</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cm="1">
        <f t="array" ref="A862">IFERROR(INDEX('03.Muestra'!$B$8:$B$42,SMALL(IF("Página Web"='03.Muestra'!$D$8:$D$42,ROW('03.Muestra'!$B$8:$B$42)-MIN(ROW('03.Muestra'!$D$8:$D$42))+1,""),ROW()-854)),"")</f>
        <v>8</v>
      </c>
      <c r="B862" s="85" t="str" cm="1">
        <f t="array" ref="B862">IFERROR(INDEX('03.Muestra'!$C$8:$C$42,SMALL(IF("Página Web"='03.Muestra'!$D$8:$D$42,ROW('03.Muestra'!$C$8:$C$42)-MIN(ROW('03.Muestra'!$D$8:$D$42))+1,""),ROW()-854)),"")</f>
        <v>Aviso Legal - Privacidad</v>
      </c>
      <c r="C862" s="85" t="str" cm="1">
        <f t="array" ref="C862">IFERROR(INDEX('03.Muestra'!$F$8:$F$42,SMALL(IF("Página Web"='03.Muestra'!$D$8:$D$42,ROW('03.Muestra'!$F$8:$F$42)-MIN(ROW('03.Muestra'!$D$8:$D$42))+1,""),ROW()-854)),"")</f>
        <v>https://www.comunidad.madrid/hospital/atencionprimaria/aviso-legal-privacidad</v>
      </c>
      <c r="D862" s="99" t="s">
        <v>104</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cm="1">
        <f t="array" ref="A863">IFERROR(INDEX('03.Muestra'!$B$8:$B$42,SMALL(IF("Página Web"='03.Muestra'!$D$8:$D$42,ROW('03.Muestra'!$B$8:$B$42)-MIN(ROW('03.Muestra'!$D$8:$D$42))+1,""),ROW()-854)),"")</f>
        <v>9</v>
      </c>
      <c r="B863" s="85" t="str" cm="1">
        <f t="array" ref="B863">IFERROR(INDEX('03.Muestra'!$C$8:$C$42,SMALL(IF("Página Web"='03.Muestra'!$D$8:$D$42,ROW('03.Muestra'!$C$8:$C$42)-MIN(ROW('03.Muestra'!$D$8:$D$42))+1,""),ROW()-854)),"")</f>
        <v>Mapa Web</v>
      </c>
      <c r="C863" s="85" t="str" cm="1">
        <f t="array" ref="C863">IFERROR(INDEX('03.Muestra'!$F$8:$F$42,SMALL(IF("Página Web"='03.Muestra'!$D$8:$D$42,ROW('03.Muestra'!$F$8:$F$42)-MIN(ROW('03.Muestra'!$D$8:$D$42))+1,""),ROW()-854)),"")</f>
        <v>https://www.comunidad.madrid/hospital/atencionprimaria/sitemap</v>
      </c>
      <c r="D863" s="99" t="s">
        <v>104</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ref="D864:D889" si="45">IF(AND(B864&lt;&gt;"",C864&lt;&gt;""),"N/T","")</f>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https://www.comunidad.madrid/hospital/atencionprimaria/home</v>
      </c>
      <c r="D893" s="99" t="s">
        <v>94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Ciudadanos</v>
      </c>
      <c r="C894" s="85" t="str" cm="1">
        <f t="array" ref="C894">IFERROR(INDEX('03.Muestra'!$F$8:$F$42,SMALL(IF("Página Web"='03.Muestra'!$D$8:$D$42,ROW('03.Muestra'!$F$8:$F$42)-MIN(ROW('03.Muestra'!$D$8:$D$42))+1,""),ROW()-892)),"")</f>
        <v>https://www.comunidad.madrid/hospital/atencionprimaria/ciudadanos</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8</v>
      </c>
      <c r="I894" s="91">
        <f ca="1">COUNTIF($D893:INDIRECT("$D" &amp;  SUM(ROW()-1,'03.Muestra'!$D$45)-1),I893)</f>
        <v>1</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Profesionales</v>
      </c>
      <c r="C895" s="85" t="str" cm="1">
        <f t="array" ref="C895">IFERROR(INDEX('03.Muestra'!$F$8:$F$42,SMALL(IF("Página Web"='03.Muestra'!$D$8:$D$42,ROW('03.Muestra'!$F$8:$F$42)-MIN(ROW('03.Muestra'!$D$8:$D$42))+1,""),ROW()-892)),"")</f>
        <v>https://www.comunidad.madrid/hospital/atencionprimaria/profesionales</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Comunicación</v>
      </c>
      <c r="C896" s="85" t="str" cm="1">
        <f t="array" ref="C896">IFERROR(INDEX('03.Muestra'!$F$8:$F$42,SMALL(IF("Página Web"='03.Muestra'!$D$8:$D$42,ROW('03.Muestra'!$F$8:$F$42)-MIN(ROW('03.Muestra'!$D$8:$D$42))+1,""),ROW()-892)),"")</f>
        <v>https://www.comunidad.madrid/hospital/atencionprimaria/comunicación</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Nosotros</v>
      </c>
      <c r="C897" s="85" t="str" cm="1">
        <f t="array" ref="C897">IFERROR(INDEX('03.Muestra'!$F$8:$F$42,SMALL(IF("Página Web"='03.Muestra'!$D$8:$D$42,ROW('03.Muestra'!$F$8:$F$42)-MIN(ROW('03.Muestra'!$D$8:$D$42))+1,""),ROW()-892)),"")</f>
        <v>https://www.comunidad.madrid/hospital/atencionprimaria/nosotros</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Videoteca</v>
      </c>
      <c r="C898" s="85" t="str" cm="1">
        <f t="array" ref="C898">IFERROR(INDEX('03.Muestra'!$F$8:$F$42,SMALL(IF("Página Web"='03.Muestra'!$D$8:$D$42,ROW('03.Muestra'!$F$8:$F$42)-MIN(ROW('03.Muestra'!$D$8:$D$42))+1,""),ROW()-892)),"")</f>
        <v>https://www.comunidad.madrid/hospital/atencionprimaria/videoteca</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Accesibilidad</v>
      </c>
      <c r="C899" s="85" t="str" cm="1">
        <f t="array" ref="C899">IFERROR(INDEX('03.Muestra'!$F$8:$F$42,SMALL(IF("Página Web"='03.Muestra'!$D$8:$D$42,ROW('03.Muestra'!$F$8:$F$42)-MIN(ROW('03.Muestra'!$D$8:$D$42))+1,""),ROW()-892)),"")</f>
        <v>https://www.comunidad.madrid/hospital/atencionprimaria/declaracion-accesibilidad</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cm="1">
        <f t="array" ref="A900">IFERROR(INDEX('03.Muestra'!$B$8:$B$42,SMALL(IF("Página Web"='03.Muestra'!$D$8:$D$42,ROW('03.Muestra'!$B$8:$B$42)-MIN(ROW('03.Muestra'!$D$8:$D$42))+1,""),ROW()-892)),"")</f>
        <v>8</v>
      </c>
      <c r="B900" s="85" t="str" cm="1">
        <f t="array" ref="B900">IFERROR(INDEX('03.Muestra'!$C$8:$C$42,SMALL(IF("Página Web"='03.Muestra'!$D$8:$D$42,ROW('03.Muestra'!$C$8:$C$42)-MIN(ROW('03.Muestra'!$D$8:$D$42))+1,""),ROW()-892)),"")</f>
        <v>Aviso Legal - Privacidad</v>
      </c>
      <c r="C900" s="85" t="str" cm="1">
        <f t="array" ref="C900">IFERROR(INDEX('03.Muestra'!$F$8:$F$42,SMALL(IF("Página Web"='03.Muestra'!$D$8:$D$42,ROW('03.Muestra'!$F$8:$F$42)-MIN(ROW('03.Muestra'!$D$8:$D$42))+1,""),ROW()-892)),"")</f>
        <v>https://www.comunidad.madrid/hospital/atencionprimaria/aviso-legal-privacidad</v>
      </c>
      <c r="D900" s="99" t="s">
        <v>104</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cm="1">
        <f t="array" ref="A901">IFERROR(INDEX('03.Muestra'!$B$8:$B$42,SMALL(IF("Página Web"='03.Muestra'!$D$8:$D$42,ROW('03.Muestra'!$B$8:$B$42)-MIN(ROW('03.Muestra'!$D$8:$D$42))+1,""),ROW()-892)),"")</f>
        <v>9</v>
      </c>
      <c r="B901" s="85" t="str" cm="1">
        <f t="array" ref="B901">IFERROR(INDEX('03.Muestra'!$C$8:$C$42,SMALL(IF("Página Web"='03.Muestra'!$D$8:$D$42,ROW('03.Muestra'!$C$8:$C$42)-MIN(ROW('03.Muestra'!$D$8:$D$42))+1,""),ROW()-892)),"")</f>
        <v>Mapa Web</v>
      </c>
      <c r="C901" s="85" t="str" cm="1">
        <f t="array" ref="C901">IFERROR(INDEX('03.Muestra'!$F$8:$F$42,SMALL(IF("Página Web"='03.Muestra'!$D$8:$D$42,ROW('03.Muestra'!$F$8:$F$42)-MIN(ROW('03.Muestra'!$D$8:$D$42))+1,""),ROW()-892)),"")</f>
        <v>https://www.comunidad.madrid/hospital/atencionprimaria/sitemap</v>
      </c>
      <c r="D901" s="99" t="s">
        <v>104</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ref="D902:D927" si="47">IF(AND(B902&lt;&gt;"",C902&lt;&gt;""),"N/T","")</f>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https://www.comunidad.madrid/hospital/atencionprimaria/home</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Ciudadanos</v>
      </c>
      <c r="C932" s="85" t="str" cm="1">
        <f t="array" ref="C932">IFERROR(INDEX('03.Muestra'!$F$8:$F$42,SMALL(IF("Página Web"='03.Muestra'!$D$8:$D$42,ROW('03.Muestra'!$F$8:$F$42)-MIN(ROW('03.Muestra'!$D$8:$D$42))+1,""),ROW()-930)),"")</f>
        <v>https://www.comunidad.madrid/hospital/atencionprimaria/ciudadanos</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9</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Profesionales</v>
      </c>
      <c r="C933" s="85" t="str" cm="1">
        <f t="array" ref="C933">IFERROR(INDEX('03.Muestra'!$F$8:$F$42,SMALL(IF("Página Web"='03.Muestra'!$D$8:$D$42,ROW('03.Muestra'!$F$8:$F$42)-MIN(ROW('03.Muestra'!$D$8:$D$42))+1,""),ROW()-930)),"")</f>
        <v>https://www.comunidad.madrid/hospital/atencionprimaria/profesionales</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Comunicación</v>
      </c>
      <c r="C934" s="85" t="str" cm="1">
        <f t="array" ref="C934">IFERROR(INDEX('03.Muestra'!$F$8:$F$42,SMALL(IF("Página Web"='03.Muestra'!$D$8:$D$42,ROW('03.Muestra'!$F$8:$F$42)-MIN(ROW('03.Muestra'!$D$8:$D$42))+1,""),ROW()-930)),"")</f>
        <v>https://www.comunidad.madrid/hospital/atencionprimaria/comunicación</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Nosotros</v>
      </c>
      <c r="C935" s="85" t="str" cm="1">
        <f t="array" ref="C935">IFERROR(INDEX('03.Muestra'!$F$8:$F$42,SMALL(IF("Página Web"='03.Muestra'!$D$8:$D$42,ROW('03.Muestra'!$F$8:$F$42)-MIN(ROW('03.Muestra'!$D$8:$D$42))+1,""),ROW()-930)),"")</f>
        <v>https://www.comunidad.madrid/hospital/atencionprimaria/nosotros</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Videoteca</v>
      </c>
      <c r="C936" s="85" t="str" cm="1">
        <f t="array" ref="C936">IFERROR(INDEX('03.Muestra'!$F$8:$F$42,SMALL(IF("Página Web"='03.Muestra'!$D$8:$D$42,ROW('03.Muestra'!$F$8:$F$42)-MIN(ROW('03.Muestra'!$D$8:$D$42))+1,""),ROW()-930)),"")</f>
        <v>https://www.comunidad.madrid/hospital/atencionprimaria/videoteca</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Accesibilidad</v>
      </c>
      <c r="C937" s="85" t="str" cm="1">
        <f t="array" ref="C937">IFERROR(INDEX('03.Muestra'!$F$8:$F$42,SMALL(IF("Página Web"='03.Muestra'!$D$8:$D$42,ROW('03.Muestra'!$F$8:$F$42)-MIN(ROW('03.Muestra'!$D$8:$D$42))+1,""),ROW()-930)),"")</f>
        <v>https://www.comunidad.madrid/hospital/atencionprimaria/declaracion-accesibilidad</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cm="1">
        <f t="array" ref="A938">IFERROR(INDEX('03.Muestra'!$B$8:$B$42,SMALL(IF("Página Web"='03.Muestra'!$D$8:$D$42,ROW('03.Muestra'!$B$8:$B$42)-MIN(ROW('03.Muestra'!$D$8:$D$42))+1,""),ROW()-930)),"")</f>
        <v>8</v>
      </c>
      <c r="B938" s="85" t="str" cm="1">
        <f t="array" ref="B938">IFERROR(INDEX('03.Muestra'!$C$8:$C$42,SMALL(IF("Página Web"='03.Muestra'!$D$8:$D$42,ROW('03.Muestra'!$C$8:$C$42)-MIN(ROW('03.Muestra'!$D$8:$D$42))+1,""),ROW()-930)),"")</f>
        <v>Aviso Legal - Privacidad</v>
      </c>
      <c r="C938" s="85" t="str" cm="1">
        <f t="array" ref="C938">IFERROR(INDEX('03.Muestra'!$F$8:$F$42,SMALL(IF("Página Web"='03.Muestra'!$D$8:$D$42,ROW('03.Muestra'!$F$8:$F$42)-MIN(ROW('03.Muestra'!$D$8:$D$42))+1,""),ROW()-930)),"")</f>
        <v>https://www.comunidad.madrid/hospital/atencionprimaria/aviso-legal-privacidad</v>
      </c>
      <c r="D938" s="99" t="s">
        <v>104</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cm="1">
        <f t="array" ref="A939">IFERROR(INDEX('03.Muestra'!$B$8:$B$42,SMALL(IF("Página Web"='03.Muestra'!$D$8:$D$42,ROW('03.Muestra'!$B$8:$B$42)-MIN(ROW('03.Muestra'!$D$8:$D$42))+1,""),ROW()-930)),"")</f>
        <v>9</v>
      </c>
      <c r="B939" s="85" t="str" cm="1">
        <f t="array" ref="B939">IFERROR(INDEX('03.Muestra'!$C$8:$C$42,SMALL(IF("Página Web"='03.Muestra'!$D$8:$D$42,ROW('03.Muestra'!$C$8:$C$42)-MIN(ROW('03.Muestra'!$D$8:$D$42))+1,""),ROW()-930)),"")</f>
        <v>Mapa Web</v>
      </c>
      <c r="C939" s="85" t="str" cm="1">
        <f t="array" ref="C939">IFERROR(INDEX('03.Muestra'!$F$8:$F$42,SMALL(IF("Página Web"='03.Muestra'!$D$8:$D$42,ROW('03.Muestra'!$F$8:$F$42)-MIN(ROW('03.Muestra'!$D$8:$D$42))+1,""),ROW()-930)),"")</f>
        <v>https://www.comunidad.madrid/hospital/atencionprimaria/sitemap</v>
      </c>
      <c r="D939" s="99" t="s">
        <v>104</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ref="D940:D965" si="49">IF(AND(B940&lt;&gt;"",C940&lt;&gt;""),"N/T","")</f>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https://www.comunidad.madrid/hospital/atencionprimaria/home</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Ciudadanos</v>
      </c>
      <c r="C970" s="85" t="str" cm="1">
        <f t="array" ref="C970">IFERROR(INDEX('03.Muestra'!$F$8:$F$42,SMALL(IF("Página Web"='03.Muestra'!$D$8:$D$42,ROW('03.Muestra'!$F$8:$F$42)-MIN(ROW('03.Muestra'!$D$8:$D$42))+1,""),ROW()-968)),"")</f>
        <v>https://www.comunidad.madrid/hospital/atencionprimaria/ciudadanos</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9</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Profesionales</v>
      </c>
      <c r="C971" s="85" t="str" cm="1">
        <f t="array" ref="C971">IFERROR(INDEX('03.Muestra'!$F$8:$F$42,SMALL(IF("Página Web"='03.Muestra'!$D$8:$D$42,ROW('03.Muestra'!$F$8:$F$42)-MIN(ROW('03.Muestra'!$D$8:$D$42))+1,""),ROW()-968)),"")</f>
        <v>https://www.comunidad.madrid/hospital/atencionprimaria/profesionales</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Comunicación</v>
      </c>
      <c r="C972" s="85" t="str" cm="1">
        <f t="array" ref="C972">IFERROR(INDEX('03.Muestra'!$F$8:$F$42,SMALL(IF("Página Web"='03.Muestra'!$D$8:$D$42,ROW('03.Muestra'!$F$8:$F$42)-MIN(ROW('03.Muestra'!$D$8:$D$42))+1,""),ROW()-968)),"")</f>
        <v>https://www.comunidad.madrid/hospital/atencionprimaria/comunicación</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Nosotros</v>
      </c>
      <c r="C973" s="85" t="str" cm="1">
        <f t="array" ref="C973">IFERROR(INDEX('03.Muestra'!$F$8:$F$42,SMALL(IF("Página Web"='03.Muestra'!$D$8:$D$42,ROW('03.Muestra'!$F$8:$F$42)-MIN(ROW('03.Muestra'!$D$8:$D$42))+1,""),ROW()-968)),"")</f>
        <v>https://www.comunidad.madrid/hospital/atencionprimaria/nosotros</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Videoteca</v>
      </c>
      <c r="C974" s="85" t="str" cm="1">
        <f t="array" ref="C974">IFERROR(INDEX('03.Muestra'!$F$8:$F$42,SMALL(IF("Página Web"='03.Muestra'!$D$8:$D$42,ROW('03.Muestra'!$F$8:$F$42)-MIN(ROW('03.Muestra'!$D$8:$D$42))+1,""),ROW()-968)),"")</f>
        <v>https://www.comunidad.madrid/hospital/atencionprimaria/videoteca</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Accesibilidad</v>
      </c>
      <c r="C975" s="85" t="str" cm="1">
        <f t="array" ref="C975">IFERROR(INDEX('03.Muestra'!$F$8:$F$42,SMALL(IF("Página Web"='03.Muestra'!$D$8:$D$42,ROW('03.Muestra'!$F$8:$F$42)-MIN(ROW('03.Muestra'!$D$8:$D$42))+1,""),ROW()-968)),"")</f>
        <v>https://www.comunidad.madrid/hospital/atencionprimaria/declaracion-accesibilidad</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cm="1">
        <f t="array" ref="A976">IFERROR(INDEX('03.Muestra'!$B$8:$B$42,SMALL(IF("Página Web"='03.Muestra'!$D$8:$D$42,ROW('03.Muestra'!$B$8:$B$42)-MIN(ROW('03.Muestra'!$D$8:$D$42))+1,""),ROW()-968)),"")</f>
        <v>8</v>
      </c>
      <c r="B976" s="85" t="str" cm="1">
        <f t="array" ref="B976">IFERROR(INDEX('03.Muestra'!$C$8:$C$42,SMALL(IF("Página Web"='03.Muestra'!$D$8:$D$42,ROW('03.Muestra'!$C$8:$C$42)-MIN(ROW('03.Muestra'!$D$8:$D$42))+1,""),ROW()-968)),"")</f>
        <v>Aviso Legal - Privacidad</v>
      </c>
      <c r="C976" s="85" t="str" cm="1">
        <f t="array" ref="C976">IFERROR(INDEX('03.Muestra'!$F$8:$F$42,SMALL(IF("Página Web"='03.Muestra'!$D$8:$D$42,ROW('03.Muestra'!$F$8:$F$42)-MIN(ROW('03.Muestra'!$D$8:$D$42))+1,""),ROW()-968)),"")</f>
        <v>https://www.comunidad.madrid/hospital/atencionprimaria/aviso-legal-privacidad</v>
      </c>
      <c r="D976" s="99" t="s">
        <v>92</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cm="1">
        <f t="array" ref="A977">IFERROR(INDEX('03.Muestra'!$B$8:$B$42,SMALL(IF("Página Web"='03.Muestra'!$D$8:$D$42,ROW('03.Muestra'!$B$8:$B$42)-MIN(ROW('03.Muestra'!$D$8:$D$42))+1,""),ROW()-968)),"")</f>
        <v>9</v>
      </c>
      <c r="B977" s="85" t="str" cm="1">
        <f t="array" ref="B977">IFERROR(INDEX('03.Muestra'!$C$8:$C$42,SMALL(IF("Página Web"='03.Muestra'!$D$8:$D$42,ROW('03.Muestra'!$C$8:$C$42)-MIN(ROW('03.Muestra'!$D$8:$D$42))+1,""),ROW()-968)),"")</f>
        <v>Mapa Web</v>
      </c>
      <c r="C977" s="85" t="str" cm="1">
        <f t="array" ref="C977">IFERROR(INDEX('03.Muestra'!$F$8:$F$42,SMALL(IF("Página Web"='03.Muestra'!$D$8:$D$42,ROW('03.Muestra'!$F$8:$F$42)-MIN(ROW('03.Muestra'!$D$8:$D$42))+1,""),ROW()-968)),"")</f>
        <v>https://www.comunidad.madrid/hospital/atencionprimaria/sitemap</v>
      </c>
      <c r="D977" s="99" t="s">
        <v>92</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ref="D978:D1003" si="51">IF(AND(B978&lt;&gt;"",C978&lt;&gt;""),"N/T","")</f>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https://www.comunidad.madrid/hospital/atencionprimaria/home</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Ciudadanos</v>
      </c>
      <c r="C1008" s="85" t="str" cm="1">
        <f t="array" ref="C1008">IFERROR(INDEX('03.Muestra'!$F$8:$F$42,SMALL(IF("Página Web"='03.Muestra'!$D$8:$D$42,ROW('03.Muestra'!$F$8:$F$42)-MIN(ROW('03.Muestra'!$D$8:$D$42))+1,""),ROW()-1006)),"")</f>
        <v>https://www.comunidad.madrid/hospital/atencionprimaria/ciudadanos</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9</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Profesionales</v>
      </c>
      <c r="C1009" s="85" t="str" cm="1">
        <f t="array" ref="C1009">IFERROR(INDEX('03.Muestra'!$F$8:$F$42,SMALL(IF("Página Web"='03.Muestra'!$D$8:$D$42,ROW('03.Muestra'!$F$8:$F$42)-MIN(ROW('03.Muestra'!$D$8:$D$42))+1,""),ROW()-1006)),"")</f>
        <v>https://www.comunidad.madrid/hospital/atencionprimaria/profesionales</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Comunicación</v>
      </c>
      <c r="C1010" s="85" t="str" cm="1">
        <f t="array" ref="C1010">IFERROR(INDEX('03.Muestra'!$F$8:$F$42,SMALL(IF("Página Web"='03.Muestra'!$D$8:$D$42,ROW('03.Muestra'!$F$8:$F$42)-MIN(ROW('03.Muestra'!$D$8:$D$42))+1,""),ROW()-1006)),"")</f>
        <v>https://www.comunidad.madrid/hospital/atencionprimaria/comunicación</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Nosotros</v>
      </c>
      <c r="C1011" s="85" t="str" cm="1">
        <f t="array" ref="C1011">IFERROR(INDEX('03.Muestra'!$F$8:$F$42,SMALL(IF("Página Web"='03.Muestra'!$D$8:$D$42,ROW('03.Muestra'!$F$8:$F$42)-MIN(ROW('03.Muestra'!$D$8:$D$42))+1,""),ROW()-1006)),"")</f>
        <v>https://www.comunidad.madrid/hospital/atencionprimaria/nosotros</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Videoteca</v>
      </c>
      <c r="C1012" s="85" t="str" cm="1">
        <f t="array" ref="C1012">IFERROR(INDEX('03.Muestra'!$F$8:$F$42,SMALL(IF("Página Web"='03.Muestra'!$D$8:$D$42,ROW('03.Muestra'!$F$8:$F$42)-MIN(ROW('03.Muestra'!$D$8:$D$42))+1,""),ROW()-1006)),"")</f>
        <v>https://www.comunidad.madrid/hospital/atencionprimaria/videoteca</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Accesibilidad</v>
      </c>
      <c r="C1013" s="85" t="str" cm="1">
        <f t="array" ref="C1013">IFERROR(INDEX('03.Muestra'!$F$8:$F$42,SMALL(IF("Página Web"='03.Muestra'!$D$8:$D$42,ROW('03.Muestra'!$F$8:$F$42)-MIN(ROW('03.Muestra'!$D$8:$D$42))+1,""),ROW()-1006)),"")</f>
        <v>https://www.comunidad.madrid/hospital/atencionprimaria/declaracion-accesibilidad</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cm="1">
        <f t="array" ref="A1014">IFERROR(INDEX('03.Muestra'!$B$8:$B$42,SMALL(IF("Página Web"='03.Muestra'!$D$8:$D$42,ROW('03.Muestra'!$B$8:$B$42)-MIN(ROW('03.Muestra'!$D$8:$D$42))+1,""),ROW()-1006)),"")</f>
        <v>8</v>
      </c>
      <c r="B1014" s="85" t="str" cm="1">
        <f t="array" ref="B1014">IFERROR(INDEX('03.Muestra'!$C$8:$C$42,SMALL(IF("Página Web"='03.Muestra'!$D$8:$D$42,ROW('03.Muestra'!$C$8:$C$42)-MIN(ROW('03.Muestra'!$D$8:$D$42))+1,""),ROW()-1006)),"")</f>
        <v>Aviso Legal - Privacidad</v>
      </c>
      <c r="C1014" s="85" t="str" cm="1">
        <f t="array" ref="C1014">IFERROR(INDEX('03.Muestra'!$F$8:$F$42,SMALL(IF("Página Web"='03.Muestra'!$D$8:$D$42,ROW('03.Muestra'!$F$8:$F$42)-MIN(ROW('03.Muestra'!$D$8:$D$42))+1,""),ROW()-1006)),"")</f>
        <v>https://www.comunidad.madrid/hospital/atencionprimaria/aviso-legal-privacidad</v>
      </c>
      <c r="D1014" s="99" t="s">
        <v>92</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cm="1">
        <f t="array" ref="A1015">IFERROR(INDEX('03.Muestra'!$B$8:$B$42,SMALL(IF("Página Web"='03.Muestra'!$D$8:$D$42,ROW('03.Muestra'!$B$8:$B$42)-MIN(ROW('03.Muestra'!$D$8:$D$42))+1,""),ROW()-1006)),"")</f>
        <v>9</v>
      </c>
      <c r="B1015" s="85" t="str" cm="1">
        <f t="array" ref="B1015">IFERROR(INDEX('03.Muestra'!$C$8:$C$42,SMALL(IF("Página Web"='03.Muestra'!$D$8:$D$42,ROW('03.Muestra'!$C$8:$C$42)-MIN(ROW('03.Muestra'!$D$8:$D$42))+1,""),ROW()-1006)),"")</f>
        <v>Mapa Web</v>
      </c>
      <c r="C1015" s="85" t="str" cm="1">
        <f t="array" ref="C1015">IFERROR(INDEX('03.Muestra'!$F$8:$F$42,SMALL(IF("Página Web"='03.Muestra'!$D$8:$D$42,ROW('03.Muestra'!$F$8:$F$42)-MIN(ROW('03.Muestra'!$D$8:$D$42))+1,""),ROW()-1006)),"")</f>
        <v>https://www.comunidad.madrid/hospital/atencionprimaria/sitemap</v>
      </c>
      <c r="D1015" s="99" t="s">
        <v>92</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ref="D1016:D1041" si="53">IF(AND(B1016&lt;&gt;"",C1016&lt;&gt;""),"N/T","")</f>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https://www.comunidad.madrid/hospital/atencionprimaria/home</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Ciudadanos</v>
      </c>
      <c r="C1046" s="85" t="str" cm="1">
        <f t="array" ref="C1046">IFERROR(INDEX('03.Muestra'!$F$8:$F$42,SMALL(IF("Página Web"='03.Muestra'!$D$8:$D$42,ROW('03.Muestra'!$F$8:$F$42)-MIN(ROW('03.Muestra'!$D$8:$D$42))+1,""),ROW()-1044)),"")</f>
        <v>https://www.comunidad.madrid/hospital/atencionprimaria/ciudadanos</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9</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Profesionales</v>
      </c>
      <c r="C1047" s="85" t="str" cm="1">
        <f t="array" ref="C1047">IFERROR(INDEX('03.Muestra'!$F$8:$F$42,SMALL(IF("Página Web"='03.Muestra'!$D$8:$D$42,ROW('03.Muestra'!$F$8:$F$42)-MIN(ROW('03.Muestra'!$D$8:$D$42))+1,""),ROW()-1044)),"")</f>
        <v>https://www.comunidad.madrid/hospital/atencionprimaria/profesionales</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Comunicación</v>
      </c>
      <c r="C1048" s="85" t="str" cm="1">
        <f t="array" ref="C1048">IFERROR(INDEX('03.Muestra'!$F$8:$F$42,SMALL(IF("Página Web"='03.Muestra'!$D$8:$D$42,ROW('03.Muestra'!$F$8:$F$42)-MIN(ROW('03.Muestra'!$D$8:$D$42))+1,""),ROW()-1044)),"")</f>
        <v>https://www.comunidad.madrid/hospital/atencionprimaria/comunicación</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Nosotros</v>
      </c>
      <c r="C1049" s="85" t="str" cm="1">
        <f t="array" ref="C1049">IFERROR(INDEX('03.Muestra'!$F$8:$F$42,SMALL(IF("Página Web"='03.Muestra'!$D$8:$D$42,ROW('03.Muestra'!$F$8:$F$42)-MIN(ROW('03.Muestra'!$D$8:$D$42))+1,""),ROW()-1044)),"")</f>
        <v>https://www.comunidad.madrid/hospital/atencionprimaria/nosotros</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Videoteca</v>
      </c>
      <c r="C1050" s="85" t="str" cm="1">
        <f t="array" ref="C1050">IFERROR(INDEX('03.Muestra'!$F$8:$F$42,SMALL(IF("Página Web"='03.Muestra'!$D$8:$D$42,ROW('03.Muestra'!$F$8:$F$42)-MIN(ROW('03.Muestra'!$D$8:$D$42))+1,""),ROW()-1044)),"")</f>
        <v>https://www.comunidad.madrid/hospital/atencionprimaria/videoteca</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Accesibilidad</v>
      </c>
      <c r="C1051" s="85" t="str" cm="1">
        <f t="array" ref="C1051">IFERROR(INDEX('03.Muestra'!$F$8:$F$42,SMALL(IF("Página Web"='03.Muestra'!$D$8:$D$42,ROW('03.Muestra'!$F$8:$F$42)-MIN(ROW('03.Muestra'!$D$8:$D$42))+1,""),ROW()-1044)),"")</f>
        <v>https://www.comunidad.madrid/hospital/atencionprimaria/declaracion-accesibilidad</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cm="1">
        <f t="array" ref="A1052">IFERROR(INDEX('03.Muestra'!$B$8:$B$42,SMALL(IF("Página Web"='03.Muestra'!$D$8:$D$42,ROW('03.Muestra'!$B$8:$B$42)-MIN(ROW('03.Muestra'!$D$8:$D$42))+1,""),ROW()-1044)),"")</f>
        <v>8</v>
      </c>
      <c r="B1052" s="85" t="str" cm="1">
        <f t="array" ref="B1052">IFERROR(INDEX('03.Muestra'!$C$8:$C$42,SMALL(IF("Página Web"='03.Muestra'!$D$8:$D$42,ROW('03.Muestra'!$C$8:$C$42)-MIN(ROW('03.Muestra'!$D$8:$D$42))+1,""),ROW()-1044)),"")</f>
        <v>Aviso Legal - Privacidad</v>
      </c>
      <c r="C1052" s="85" t="str" cm="1">
        <f t="array" ref="C1052">IFERROR(INDEX('03.Muestra'!$F$8:$F$42,SMALL(IF("Página Web"='03.Muestra'!$D$8:$D$42,ROW('03.Muestra'!$F$8:$F$42)-MIN(ROW('03.Muestra'!$D$8:$D$42))+1,""),ROW()-1044)),"")</f>
        <v>https://www.comunidad.madrid/hospital/atencionprimaria/aviso-legal-privacidad</v>
      </c>
      <c r="D1052" s="99" t="s">
        <v>94</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cm="1">
        <f t="array" ref="A1053">IFERROR(INDEX('03.Muestra'!$B$8:$B$42,SMALL(IF("Página Web"='03.Muestra'!$D$8:$D$42,ROW('03.Muestra'!$B$8:$B$42)-MIN(ROW('03.Muestra'!$D$8:$D$42))+1,""),ROW()-1044)),"")</f>
        <v>9</v>
      </c>
      <c r="B1053" s="85" t="str" cm="1">
        <f t="array" ref="B1053">IFERROR(INDEX('03.Muestra'!$C$8:$C$42,SMALL(IF("Página Web"='03.Muestra'!$D$8:$D$42,ROW('03.Muestra'!$C$8:$C$42)-MIN(ROW('03.Muestra'!$D$8:$D$42))+1,""),ROW()-1044)),"")</f>
        <v>Mapa Web</v>
      </c>
      <c r="C1053" s="85" t="str" cm="1">
        <f t="array" ref="C1053">IFERROR(INDEX('03.Muestra'!$F$8:$F$42,SMALL(IF("Página Web"='03.Muestra'!$D$8:$D$42,ROW('03.Muestra'!$F$8:$F$42)-MIN(ROW('03.Muestra'!$D$8:$D$42))+1,""),ROW()-1044)),"")</f>
        <v>https://www.comunidad.madrid/hospital/atencionprimaria/sitemap</v>
      </c>
      <c r="D1053" s="99" t="s">
        <v>94</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ref="D1054:D1079" si="55">IF(AND(B1054&lt;&gt;"",C1054&lt;&gt;""),"N/T","")</f>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https://www.comunidad.madrid/hospital/atencionprimaria/home</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Ciudadanos</v>
      </c>
      <c r="C1084" s="85" t="str" cm="1">
        <f t="array" ref="C1084">IFERROR(INDEX('03.Muestra'!$F$8:$F$42,SMALL(IF("Página Web"='03.Muestra'!$D$8:$D$42,ROW('03.Muestra'!$F$8:$F$42)-MIN(ROW('03.Muestra'!$D$8:$D$42))+1,""),ROW()-1082)),"")</f>
        <v>https://www.comunidad.madrid/hospital/atencionprimaria/ciudadanos</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9</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Profesionales</v>
      </c>
      <c r="C1085" s="85" t="str" cm="1">
        <f t="array" ref="C1085">IFERROR(INDEX('03.Muestra'!$F$8:$F$42,SMALL(IF("Página Web"='03.Muestra'!$D$8:$D$42,ROW('03.Muestra'!$F$8:$F$42)-MIN(ROW('03.Muestra'!$D$8:$D$42))+1,""),ROW()-1082)),"")</f>
        <v>https://www.comunidad.madrid/hospital/atencionprimaria/profesionales</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Comunicación</v>
      </c>
      <c r="C1086" s="85" t="str" cm="1">
        <f t="array" ref="C1086">IFERROR(INDEX('03.Muestra'!$F$8:$F$42,SMALL(IF("Página Web"='03.Muestra'!$D$8:$D$42,ROW('03.Muestra'!$F$8:$F$42)-MIN(ROW('03.Muestra'!$D$8:$D$42))+1,""),ROW()-1082)),"")</f>
        <v>https://www.comunidad.madrid/hospital/atencionprimaria/comunicación</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Nosotros</v>
      </c>
      <c r="C1087" s="85" t="str" cm="1">
        <f t="array" ref="C1087">IFERROR(INDEX('03.Muestra'!$F$8:$F$42,SMALL(IF("Página Web"='03.Muestra'!$D$8:$D$42,ROW('03.Muestra'!$F$8:$F$42)-MIN(ROW('03.Muestra'!$D$8:$D$42))+1,""),ROW()-1082)),"")</f>
        <v>https://www.comunidad.madrid/hospital/atencionprimaria/nosotros</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Videoteca</v>
      </c>
      <c r="C1088" s="85" t="str" cm="1">
        <f t="array" ref="C1088">IFERROR(INDEX('03.Muestra'!$F$8:$F$42,SMALL(IF("Página Web"='03.Muestra'!$D$8:$D$42,ROW('03.Muestra'!$F$8:$F$42)-MIN(ROW('03.Muestra'!$D$8:$D$42))+1,""),ROW()-1082)),"")</f>
        <v>https://www.comunidad.madrid/hospital/atencionprimaria/videoteca</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Accesibilidad</v>
      </c>
      <c r="C1089" s="85" t="str" cm="1">
        <f t="array" ref="C1089">IFERROR(INDEX('03.Muestra'!$F$8:$F$42,SMALL(IF("Página Web"='03.Muestra'!$D$8:$D$42,ROW('03.Muestra'!$F$8:$F$42)-MIN(ROW('03.Muestra'!$D$8:$D$42))+1,""),ROW()-1082)),"")</f>
        <v>https://www.comunidad.madrid/hospital/atencionprimaria/declaracion-accesibilidad</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cm="1">
        <f t="array" ref="A1090">IFERROR(INDEX('03.Muestra'!$B$8:$B$42,SMALL(IF("Página Web"='03.Muestra'!$D$8:$D$42,ROW('03.Muestra'!$B$8:$B$42)-MIN(ROW('03.Muestra'!$D$8:$D$42))+1,""),ROW()-1082)),"")</f>
        <v>8</v>
      </c>
      <c r="B1090" s="85" t="str" cm="1">
        <f t="array" ref="B1090">IFERROR(INDEX('03.Muestra'!$C$8:$C$42,SMALL(IF("Página Web"='03.Muestra'!$D$8:$D$42,ROW('03.Muestra'!$C$8:$C$42)-MIN(ROW('03.Muestra'!$D$8:$D$42))+1,""),ROW()-1082)),"")</f>
        <v>Aviso Legal - Privacidad</v>
      </c>
      <c r="C1090" s="85" t="str" cm="1">
        <f t="array" ref="C1090">IFERROR(INDEX('03.Muestra'!$F$8:$F$42,SMALL(IF("Página Web"='03.Muestra'!$D$8:$D$42,ROW('03.Muestra'!$F$8:$F$42)-MIN(ROW('03.Muestra'!$D$8:$D$42))+1,""),ROW()-1082)),"")</f>
        <v>https://www.comunidad.madrid/hospital/atencionprimaria/aviso-legal-privacidad</v>
      </c>
      <c r="D1090" s="99" t="s">
        <v>92</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cm="1">
        <f t="array" ref="A1091">IFERROR(INDEX('03.Muestra'!$B$8:$B$42,SMALL(IF("Página Web"='03.Muestra'!$D$8:$D$42,ROW('03.Muestra'!$B$8:$B$42)-MIN(ROW('03.Muestra'!$D$8:$D$42))+1,""),ROW()-1082)),"")</f>
        <v>9</v>
      </c>
      <c r="B1091" s="85" t="str" cm="1">
        <f t="array" ref="B1091">IFERROR(INDEX('03.Muestra'!$C$8:$C$42,SMALL(IF("Página Web"='03.Muestra'!$D$8:$D$42,ROW('03.Muestra'!$C$8:$C$42)-MIN(ROW('03.Muestra'!$D$8:$D$42))+1,""),ROW()-1082)),"")</f>
        <v>Mapa Web</v>
      </c>
      <c r="C1091" s="85" t="str" cm="1">
        <f t="array" ref="C1091">IFERROR(INDEX('03.Muestra'!$F$8:$F$42,SMALL(IF("Página Web"='03.Muestra'!$D$8:$D$42,ROW('03.Muestra'!$F$8:$F$42)-MIN(ROW('03.Muestra'!$D$8:$D$42))+1,""),ROW()-1082)),"")</f>
        <v>https://www.comunidad.madrid/hospital/atencionprimaria/sitemap</v>
      </c>
      <c r="D1091" s="99" t="s">
        <v>92</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ref="D1092:D1117" si="57">IF(AND(B1092&lt;&gt;"",C1092&lt;&gt;""),"N/T","")</f>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https://www.comunidad.madrid/hospital/atencionprimaria/home</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Ciudadanos</v>
      </c>
      <c r="C1122" s="85" t="str" cm="1">
        <f t="array" ref="C1122">IFERROR(INDEX('03.Muestra'!$F$8:$F$42,SMALL(IF("Página Web"='03.Muestra'!$D$8:$D$42,ROW('03.Muestra'!$F$8:$F$42)-MIN(ROW('03.Muestra'!$D$8:$D$42))+1,""),ROW()-1120)),"")</f>
        <v>https://www.comunidad.madrid/hospital/atencionprimaria/ciudadanos</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9</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Profesionales</v>
      </c>
      <c r="C1123" s="85" t="str" cm="1">
        <f t="array" ref="C1123">IFERROR(INDEX('03.Muestra'!$F$8:$F$42,SMALL(IF("Página Web"='03.Muestra'!$D$8:$D$42,ROW('03.Muestra'!$F$8:$F$42)-MIN(ROW('03.Muestra'!$D$8:$D$42))+1,""),ROW()-1120)),"")</f>
        <v>https://www.comunidad.madrid/hospital/atencionprimaria/profesionales</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Comunicación</v>
      </c>
      <c r="C1124" s="85" t="str" cm="1">
        <f t="array" ref="C1124">IFERROR(INDEX('03.Muestra'!$F$8:$F$42,SMALL(IF("Página Web"='03.Muestra'!$D$8:$D$42,ROW('03.Muestra'!$F$8:$F$42)-MIN(ROW('03.Muestra'!$D$8:$D$42))+1,""),ROW()-1120)),"")</f>
        <v>https://www.comunidad.madrid/hospital/atencionprimaria/comunicación</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Nosotros</v>
      </c>
      <c r="C1125" s="85" t="str" cm="1">
        <f t="array" ref="C1125">IFERROR(INDEX('03.Muestra'!$F$8:$F$42,SMALL(IF("Página Web"='03.Muestra'!$D$8:$D$42,ROW('03.Muestra'!$F$8:$F$42)-MIN(ROW('03.Muestra'!$D$8:$D$42))+1,""),ROW()-1120)),"")</f>
        <v>https://www.comunidad.madrid/hospital/atencionprimaria/nosotros</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Videoteca</v>
      </c>
      <c r="C1126" s="85" t="str" cm="1">
        <f t="array" ref="C1126">IFERROR(INDEX('03.Muestra'!$F$8:$F$42,SMALL(IF("Página Web"='03.Muestra'!$D$8:$D$42,ROW('03.Muestra'!$F$8:$F$42)-MIN(ROW('03.Muestra'!$D$8:$D$42))+1,""),ROW()-1120)),"")</f>
        <v>https://www.comunidad.madrid/hospital/atencionprimaria/videoteca</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Accesibilidad</v>
      </c>
      <c r="C1127" s="85" t="str" cm="1">
        <f t="array" ref="C1127">IFERROR(INDEX('03.Muestra'!$F$8:$F$42,SMALL(IF("Página Web"='03.Muestra'!$D$8:$D$42,ROW('03.Muestra'!$F$8:$F$42)-MIN(ROW('03.Muestra'!$D$8:$D$42))+1,""),ROW()-1120)),"")</f>
        <v>https://www.comunidad.madrid/hospital/atencionprimaria/declaracion-accesibilidad</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cm="1">
        <f t="array" ref="A1128">IFERROR(INDEX('03.Muestra'!$B$8:$B$42,SMALL(IF("Página Web"='03.Muestra'!$D$8:$D$42,ROW('03.Muestra'!$B$8:$B$42)-MIN(ROW('03.Muestra'!$D$8:$D$42))+1,""),ROW()-1120)),"")</f>
        <v>8</v>
      </c>
      <c r="B1128" s="85" t="str" cm="1">
        <f t="array" ref="B1128">IFERROR(INDEX('03.Muestra'!$C$8:$C$42,SMALL(IF("Página Web"='03.Muestra'!$D$8:$D$42,ROW('03.Muestra'!$C$8:$C$42)-MIN(ROW('03.Muestra'!$D$8:$D$42))+1,""),ROW()-1120)),"")</f>
        <v>Aviso Legal - Privacidad</v>
      </c>
      <c r="C1128" s="85" t="str" cm="1">
        <f t="array" ref="C1128">IFERROR(INDEX('03.Muestra'!$F$8:$F$42,SMALL(IF("Página Web"='03.Muestra'!$D$8:$D$42,ROW('03.Muestra'!$F$8:$F$42)-MIN(ROW('03.Muestra'!$D$8:$D$42))+1,""),ROW()-1120)),"")</f>
        <v>https://www.comunidad.madrid/hospital/atencionprimaria/aviso-legal-privacidad</v>
      </c>
      <c r="D1128" s="99" t="s">
        <v>92</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cm="1">
        <f t="array" ref="A1129">IFERROR(INDEX('03.Muestra'!$B$8:$B$42,SMALL(IF("Página Web"='03.Muestra'!$D$8:$D$42,ROW('03.Muestra'!$B$8:$B$42)-MIN(ROW('03.Muestra'!$D$8:$D$42))+1,""),ROW()-1120)),"")</f>
        <v>9</v>
      </c>
      <c r="B1129" s="85" t="str" cm="1">
        <f t="array" ref="B1129">IFERROR(INDEX('03.Muestra'!$C$8:$C$42,SMALL(IF("Página Web"='03.Muestra'!$D$8:$D$42,ROW('03.Muestra'!$C$8:$C$42)-MIN(ROW('03.Muestra'!$D$8:$D$42))+1,""),ROW()-1120)),"")</f>
        <v>Mapa Web</v>
      </c>
      <c r="C1129" s="85" t="str" cm="1">
        <f t="array" ref="C1129">IFERROR(INDEX('03.Muestra'!$F$8:$F$42,SMALL(IF("Página Web"='03.Muestra'!$D$8:$D$42,ROW('03.Muestra'!$F$8:$F$42)-MIN(ROW('03.Muestra'!$D$8:$D$42))+1,""),ROW()-1120)),"")</f>
        <v>https://www.comunidad.madrid/hospital/atencionprimaria/sitemap</v>
      </c>
      <c r="D1129" s="99" t="s">
        <v>92</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ref="D1130:D1155" si="59">IF(AND(B1130&lt;&gt;"",C1130&lt;&gt;""),"N/T","")</f>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https://www.comunidad.madrid/hospital/atencionprimaria/home</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Ciudadanos</v>
      </c>
      <c r="C1160" s="85" t="str" cm="1">
        <f t="array" ref="C1160">IFERROR(INDEX('03.Muestra'!$F$8:$F$42,SMALL(IF("Página Web"='03.Muestra'!$D$8:$D$42,ROW('03.Muestra'!$F$8:$F$42)-MIN(ROW('03.Muestra'!$D$8:$D$42))+1,""),ROW()-1158)),"")</f>
        <v>https://www.comunidad.madrid/hospital/atencionprimaria/ciudadanos</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9</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Profesionales</v>
      </c>
      <c r="C1161" s="85" t="str" cm="1">
        <f t="array" ref="C1161">IFERROR(INDEX('03.Muestra'!$F$8:$F$42,SMALL(IF("Página Web"='03.Muestra'!$D$8:$D$42,ROW('03.Muestra'!$F$8:$F$42)-MIN(ROW('03.Muestra'!$D$8:$D$42))+1,""),ROW()-1158)),"")</f>
        <v>https://www.comunidad.madrid/hospital/atencionprimaria/profesionales</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Comunicación</v>
      </c>
      <c r="C1162" s="85" t="str" cm="1">
        <f t="array" ref="C1162">IFERROR(INDEX('03.Muestra'!$F$8:$F$42,SMALL(IF("Página Web"='03.Muestra'!$D$8:$D$42,ROW('03.Muestra'!$F$8:$F$42)-MIN(ROW('03.Muestra'!$D$8:$D$42))+1,""),ROW()-1158)),"")</f>
        <v>https://www.comunidad.madrid/hospital/atencionprimaria/comunicación</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Nosotros</v>
      </c>
      <c r="C1163" s="85" t="str" cm="1">
        <f t="array" ref="C1163">IFERROR(INDEX('03.Muestra'!$F$8:$F$42,SMALL(IF("Página Web"='03.Muestra'!$D$8:$D$42,ROW('03.Muestra'!$F$8:$F$42)-MIN(ROW('03.Muestra'!$D$8:$D$42))+1,""),ROW()-1158)),"")</f>
        <v>https://www.comunidad.madrid/hospital/atencionprimaria/nosotros</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Videoteca</v>
      </c>
      <c r="C1164" s="85" t="str" cm="1">
        <f t="array" ref="C1164">IFERROR(INDEX('03.Muestra'!$F$8:$F$42,SMALL(IF("Página Web"='03.Muestra'!$D$8:$D$42,ROW('03.Muestra'!$F$8:$F$42)-MIN(ROW('03.Muestra'!$D$8:$D$42))+1,""),ROW()-1158)),"")</f>
        <v>https://www.comunidad.madrid/hospital/atencionprimaria/videoteca</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Accesibilidad</v>
      </c>
      <c r="C1165" s="85" t="str" cm="1">
        <f t="array" ref="C1165">IFERROR(INDEX('03.Muestra'!$F$8:$F$42,SMALL(IF("Página Web"='03.Muestra'!$D$8:$D$42,ROW('03.Muestra'!$F$8:$F$42)-MIN(ROW('03.Muestra'!$D$8:$D$42))+1,""),ROW()-1158)),"")</f>
        <v>https://www.comunidad.madrid/hospital/atencionprimaria/declaracion-accesibilidad</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cm="1">
        <f t="array" ref="A1166">IFERROR(INDEX('03.Muestra'!$B$8:$B$42,SMALL(IF("Página Web"='03.Muestra'!$D$8:$D$42,ROW('03.Muestra'!$B$8:$B$42)-MIN(ROW('03.Muestra'!$D$8:$D$42))+1,""),ROW()-1158)),"")</f>
        <v>8</v>
      </c>
      <c r="B1166" s="85" t="str" cm="1">
        <f t="array" ref="B1166">IFERROR(INDEX('03.Muestra'!$C$8:$C$42,SMALL(IF("Página Web"='03.Muestra'!$D$8:$D$42,ROW('03.Muestra'!$C$8:$C$42)-MIN(ROW('03.Muestra'!$D$8:$D$42))+1,""),ROW()-1158)),"")</f>
        <v>Aviso Legal - Privacidad</v>
      </c>
      <c r="C1166" s="85" t="str" cm="1">
        <f t="array" ref="C1166">IFERROR(INDEX('03.Muestra'!$F$8:$F$42,SMALL(IF("Página Web"='03.Muestra'!$D$8:$D$42,ROW('03.Muestra'!$F$8:$F$42)-MIN(ROW('03.Muestra'!$D$8:$D$42))+1,""),ROW()-1158)),"")</f>
        <v>https://www.comunidad.madrid/hospital/atencionprimaria/aviso-legal-privacidad</v>
      </c>
      <c r="D1166" s="99" t="s">
        <v>92</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cm="1">
        <f t="array" ref="A1167">IFERROR(INDEX('03.Muestra'!$B$8:$B$42,SMALL(IF("Página Web"='03.Muestra'!$D$8:$D$42,ROW('03.Muestra'!$B$8:$B$42)-MIN(ROW('03.Muestra'!$D$8:$D$42))+1,""),ROW()-1158)),"")</f>
        <v>9</v>
      </c>
      <c r="B1167" s="85" t="str" cm="1">
        <f t="array" ref="B1167">IFERROR(INDEX('03.Muestra'!$C$8:$C$42,SMALL(IF("Página Web"='03.Muestra'!$D$8:$D$42,ROW('03.Muestra'!$C$8:$C$42)-MIN(ROW('03.Muestra'!$D$8:$D$42))+1,""),ROW()-1158)),"")</f>
        <v>Mapa Web</v>
      </c>
      <c r="C1167" s="85" t="str" cm="1">
        <f t="array" ref="C1167">IFERROR(INDEX('03.Muestra'!$F$8:$F$42,SMALL(IF("Página Web"='03.Muestra'!$D$8:$D$42,ROW('03.Muestra'!$F$8:$F$42)-MIN(ROW('03.Muestra'!$D$8:$D$42))+1,""),ROW()-1158)),"")</f>
        <v>https://www.comunidad.madrid/hospital/atencionprimaria/sitemap</v>
      </c>
      <c r="D1167" s="99" t="s">
        <v>92</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ref="D1168:D1193" si="61">IF(AND(B1168&lt;&gt;"",C1168&lt;&gt;""),"N/T","")</f>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https://www.comunidad.madrid/hospital/atencionprimaria/home</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Ciudadanos</v>
      </c>
      <c r="C1198" s="85" t="str" cm="1">
        <f t="array" ref="C1198">IFERROR(INDEX('03.Muestra'!$F$8:$F$42,SMALL(IF("Página Web"='03.Muestra'!$D$8:$D$42,ROW('03.Muestra'!$F$8:$F$42)-MIN(ROW('03.Muestra'!$D$8:$D$42))+1,""),ROW()-1196)),"")</f>
        <v>https://www.comunidad.madrid/hospital/atencionprimaria/ciudadanos</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9</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Profesionales</v>
      </c>
      <c r="C1199" s="85" t="str" cm="1">
        <f t="array" ref="C1199">IFERROR(INDEX('03.Muestra'!$F$8:$F$42,SMALL(IF("Página Web"='03.Muestra'!$D$8:$D$42,ROW('03.Muestra'!$F$8:$F$42)-MIN(ROW('03.Muestra'!$D$8:$D$42))+1,""),ROW()-1196)),"")</f>
        <v>https://www.comunidad.madrid/hospital/atencionprimaria/profesionales</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Comunicación</v>
      </c>
      <c r="C1200" s="85" t="str" cm="1">
        <f t="array" ref="C1200">IFERROR(INDEX('03.Muestra'!$F$8:$F$42,SMALL(IF("Página Web"='03.Muestra'!$D$8:$D$42,ROW('03.Muestra'!$F$8:$F$42)-MIN(ROW('03.Muestra'!$D$8:$D$42))+1,""),ROW()-1196)),"")</f>
        <v>https://www.comunidad.madrid/hospital/atencionprimaria/comunicación</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Nosotros</v>
      </c>
      <c r="C1201" s="85" t="str" cm="1">
        <f t="array" ref="C1201">IFERROR(INDEX('03.Muestra'!$F$8:$F$42,SMALL(IF("Página Web"='03.Muestra'!$D$8:$D$42,ROW('03.Muestra'!$F$8:$F$42)-MIN(ROW('03.Muestra'!$D$8:$D$42))+1,""),ROW()-1196)),"")</f>
        <v>https://www.comunidad.madrid/hospital/atencionprimaria/nosotros</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Videoteca</v>
      </c>
      <c r="C1202" s="85" t="str" cm="1">
        <f t="array" ref="C1202">IFERROR(INDEX('03.Muestra'!$F$8:$F$42,SMALL(IF("Página Web"='03.Muestra'!$D$8:$D$42,ROW('03.Muestra'!$F$8:$F$42)-MIN(ROW('03.Muestra'!$D$8:$D$42))+1,""),ROW()-1196)),"")</f>
        <v>https://www.comunidad.madrid/hospital/atencionprimaria/videoteca</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Accesibilidad</v>
      </c>
      <c r="C1203" s="85" t="str" cm="1">
        <f t="array" ref="C1203">IFERROR(INDEX('03.Muestra'!$F$8:$F$42,SMALL(IF("Página Web"='03.Muestra'!$D$8:$D$42,ROW('03.Muestra'!$F$8:$F$42)-MIN(ROW('03.Muestra'!$D$8:$D$42))+1,""),ROW()-1196)),"")</f>
        <v>https://www.comunidad.madrid/hospital/atencionprimaria/declaracion-accesibilidad</v>
      </c>
      <c r="D1203" s="99" t="s">
        <v>94</v>
      </c>
      <c r="E1203" s="79" t="str">
        <f t="shared" si="62"/>
        <v/>
      </c>
      <c r="F1203" s="18"/>
      <c r="G1203" s="18"/>
      <c r="H1203" s="18"/>
      <c r="I1203" s="18"/>
      <c r="J1203" s="18"/>
      <c r="K1203" s="184"/>
      <c r="L1203" s="18"/>
    </row>
    <row r="1204" spans="1:12" ht="12" customHeight="1">
      <c r="A1204" s="39" cm="1">
        <f t="array" ref="A1204">IFERROR(INDEX('03.Muestra'!$B$8:$B$42,SMALL(IF("Página Web"='03.Muestra'!$D$8:$D$42,ROW('03.Muestra'!$B$8:$B$42)-MIN(ROW('03.Muestra'!$D$8:$D$42))+1,""),ROW()-1196)),"")</f>
        <v>8</v>
      </c>
      <c r="B1204" s="85" t="str" cm="1">
        <f t="array" ref="B1204">IFERROR(INDEX('03.Muestra'!$C$8:$C$42,SMALL(IF("Página Web"='03.Muestra'!$D$8:$D$42,ROW('03.Muestra'!$C$8:$C$42)-MIN(ROW('03.Muestra'!$D$8:$D$42))+1,""),ROW()-1196)),"")</f>
        <v>Aviso Legal - Privacidad</v>
      </c>
      <c r="C1204" s="85" t="str" cm="1">
        <f t="array" ref="C1204">IFERROR(INDEX('03.Muestra'!$F$8:$F$42,SMALL(IF("Página Web"='03.Muestra'!$D$8:$D$42,ROW('03.Muestra'!$F$8:$F$42)-MIN(ROW('03.Muestra'!$D$8:$D$42))+1,""),ROW()-1196)),"")</f>
        <v>https://www.comunidad.madrid/hospital/atencionprimaria/aviso-legal-privacidad</v>
      </c>
      <c r="D1204" s="99" t="s">
        <v>94</v>
      </c>
      <c r="E1204" s="79" t="str">
        <f t="shared" si="62"/>
        <v/>
      </c>
      <c r="F1204" s="18"/>
      <c r="G1204" s="18"/>
      <c r="H1204" s="18"/>
      <c r="I1204" s="18"/>
      <c r="J1204" s="18"/>
      <c r="K1204" s="184"/>
      <c r="L1204" s="18"/>
    </row>
    <row r="1205" spans="1:12" ht="12" customHeight="1">
      <c r="A1205" s="39" cm="1">
        <f t="array" ref="A1205">IFERROR(INDEX('03.Muestra'!$B$8:$B$42,SMALL(IF("Página Web"='03.Muestra'!$D$8:$D$42,ROW('03.Muestra'!$B$8:$B$42)-MIN(ROW('03.Muestra'!$D$8:$D$42))+1,""),ROW()-1196)),"")</f>
        <v>9</v>
      </c>
      <c r="B1205" s="85" t="str" cm="1">
        <f t="array" ref="B1205">IFERROR(INDEX('03.Muestra'!$C$8:$C$42,SMALL(IF("Página Web"='03.Muestra'!$D$8:$D$42,ROW('03.Muestra'!$C$8:$C$42)-MIN(ROW('03.Muestra'!$D$8:$D$42))+1,""),ROW()-1196)),"")</f>
        <v>Mapa Web</v>
      </c>
      <c r="C1205" s="85" t="str" cm="1">
        <f t="array" ref="C1205">IFERROR(INDEX('03.Muestra'!$F$8:$F$42,SMALL(IF("Página Web"='03.Muestra'!$D$8:$D$42,ROW('03.Muestra'!$F$8:$F$42)-MIN(ROW('03.Muestra'!$D$8:$D$42))+1,""),ROW()-1196)),"")</f>
        <v>https://www.comunidad.madrid/hospital/atencionprimaria/sitemap</v>
      </c>
      <c r="D1205" s="99" t="s">
        <v>94</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ref="D1206:D1231" si="63">IF(AND(B1206&lt;&gt;"",C1206&lt;&gt;""),"N/T","")</f>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https://www.comunidad.madrid/hospital/atencionprimaria/home</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Ciudadanos</v>
      </c>
      <c r="C1236" s="85" t="str" cm="1">
        <f t="array" ref="C1236">IFERROR(INDEX('03.Muestra'!$F$8:$F$42,SMALL(IF("Página Web"='03.Muestra'!$D$8:$D$42,ROW('03.Muestra'!$F$8:$F$42)-MIN(ROW('03.Muestra'!$D$8:$D$42))+1,""),ROW()-1234)),"")</f>
        <v>https://www.comunidad.madrid/hospital/atencionprimaria/ciudadanos</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9</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Profesionales</v>
      </c>
      <c r="C1237" s="85" t="str" cm="1">
        <f t="array" ref="C1237">IFERROR(INDEX('03.Muestra'!$F$8:$F$42,SMALL(IF("Página Web"='03.Muestra'!$D$8:$D$42,ROW('03.Muestra'!$F$8:$F$42)-MIN(ROW('03.Muestra'!$D$8:$D$42))+1,""),ROW()-1234)),"")</f>
        <v>https://www.comunidad.madrid/hospital/atencionprimaria/profesionales</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Comunicación</v>
      </c>
      <c r="C1238" s="85" t="str" cm="1">
        <f t="array" ref="C1238">IFERROR(INDEX('03.Muestra'!$F$8:$F$42,SMALL(IF("Página Web"='03.Muestra'!$D$8:$D$42,ROW('03.Muestra'!$F$8:$F$42)-MIN(ROW('03.Muestra'!$D$8:$D$42))+1,""),ROW()-1234)),"")</f>
        <v>https://www.comunidad.madrid/hospital/atencionprimaria/comunicación</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Nosotros</v>
      </c>
      <c r="C1239" s="85" t="str" cm="1">
        <f t="array" ref="C1239">IFERROR(INDEX('03.Muestra'!$F$8:$F$42,SMALL(IF("Página Web"='03.Muestra'!$D$8:$D$42,ROW('03.Muestra'!$F$8:$F$42)-MIN(ROW('03.Muestra'!$D$8:$D$42))+1,""),ROW()-1234)),"")</f>
        <v>https://www.comunidad.madrid/hospital/atencionprimaria/nosotros</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Videoteca</v>
      </c>
      <c r="C1240" s="85" t="str" cm="1">
        <f t="array" ref="C1240">IFERROR(INDEX('03.Muestra'!$F$8:$F$42,SMALL(IF("Página Web"='03.Muestra'!$D$8:$D$42,ROW('03.Muestra'!$F$8:$F$42)-MIN(ROW('03.Muestra'!$D$8:$D$42))+1,""),ROW()-1234)),"")</f>
        <v>https://www.comunidad.madrid/hospital/atencionprimaria/videoteca</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Accesibilidad</v>
      </c>
      <c r="C1241" s="85" t="str" cm="1">
        <f t="array" ref="C1241">IFERROR(INDEX('03.Muestra'!$F$8:$F$42,SMALL(IF("Página Web"='03.Muestra'!$D$8:$D$42,ROW('03.Muestra'!$F$8:$F$42)-MIN(ROW('03.Muestra'!$D$8:$D$42))+1,""),ROW()-1234)),"")</f>
        <v>https://www.comunidad.madrid/hospital/atencionprimaria/declaracion-accesibilidad</v>
      </c>
      <c r="D1241" s="99" t="s">
        <v>104</v>
      </c>
      <c r="E1241" s="79" t="str">
        <f t="shared" si="64"/>
        <v/>
      </c>
      <c r="F1241" s="18"/>
      <c r="G1241" s="18"/>
      <c r="H1241" s="18"/>
      <c r="I1241" s="18"/>
      <c r="J1241" s="18"/>
      <c r="K1241" s="184"/>
      <c r="L1241" s="18"/>
    </row>
    <row r="1242" spans="1:12" ht="12" customHeight="1">
      <c r="A1242" s="39" cm="1">
        <f t="array" ref="A1242">IFERROR(INDEX('03.Muestra'!$B$8:$B$42,SMALL(IF("Página Web"='03.Muestra'!$D$8:$D$42,ROW('03.Muestra'!$B$8:$B$42)-MIN(ROW('03.Muestra'!$D$8:$D$42))+1,""),ROW()-1234)),"")</f>
        <v>8</v>
      </c>
      <c r="B1242" s="85" t="str" cm="1">
        <f t="array" ref="B1242">IFERROR(INDEX('03.Muestra'!$C$8:$C$42,SMALL(IF("Página Web"='03.Muestra'!$D$8:$D$42,ROW('03.Muestra'!$C$8:$C$42)-MIN(ROW('03.Muestra'!$D$8:$D$42))+1,""),ROW()-1234)),"")</f>
        <v>Aviso Legal - Privacidad</v>
      </c>
      <c r="C1242" s="85" t="str" cm="1">
        <f t="array" ref="C1242">IFERROR(INDEX('03.Muestra'!$F$8:$F$42,SMALL(IF("Página Web"='03.Muestra'!$D$8:$D$42,ROW('03.Muestra'!$F$8:$F$42)-MIN(ROW('03.Muestra'!$D$8:$D$42))+1,""),ROW()-1234)),"")</f>
        <v>https://www.comunidad.madrid/hospital/atencionprimaria/aviso-legal-privacidad</v>
      </c>
      <c r="D1242" s="99" t="s">
        <v>104</v>
      </c>
      <c r="E1242" s="79" t="str">
        <f t="shared" si="64"/>
        <v/>
      </c>
      <c r="F1242" s="18"/>
      <c r="G1242" s="18"/>
      <c r="H1242" s="18"/>
      <c r="I1242" s="18"/>
      <c r="J1242" s="18"/>
      <c r="K1242" s="184"/>
      <c r="L1242" s="18"/>
    </row>
    <row r="1243" spans="1:12" ht="12" customHeight="1">
      <c r="A1243" s="39" cm="1">
        <f t="array" ref="A1243">IFERROR(INDEX('03.Muestra'!$B$8:$B$42,SMALL(IF("Página Web"='03.Muestra'!$D$8:$D$42,ROW('03.Muestra'!$B$8:$B$42)-MIN(ROW('03.Muestra'!$D$8:$D$42))+1,""),ROW()-1234)),"")</f>
        <v>9</v>
      </c>
      <c r="B1243" s="85" t="str" cm="1">
        <f t="array" ref="B1243">IFERROR(INDEX('03.Muestra'!$C$8:$C$42,SMALL(IF("Página Web"='03.Muestra'!$D$8:$D$42,ROW('03.Muestra'!$C$8:$C$42)-MIN(ROW('03.Muestra'!$D$8:$D$42))+1,""),ROW()-1234)),"")</f>
        <v>Mapa Web</v>
      </c>
      <c r="C1243" s="85" t="str" cm="1">
        <f t="array" ref="C1243">IFERROR(INDEX('03.Muestra'!$F$8:$F$42,SMALL(IF("Página Web"='03.Muestra'!$D$8:$D$42,ROW('03.Muestra'!$F$8:$F$42)-MIN(ROW('03.Muestra'!$D$8:$D$42))+1,""),ROW()-1234)),"")</f>
        <v>https://www.comunidad.madrid/hospital/atencionprimaria/sitemap</v>
      </c>
      <c r="D1243" s="99" t="s">
        <v>104</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ref="D1245:D1269" si="65">IF(AND(B1245&lt;&gt;"",C1245&lt;&gt;""),"N/T","")</f>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https://www.comunidad.madrid/hospital/atencionprimaria/home</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Ciudadanos</v>
      </c>
      <c r="C1274" s="85" t="str" cm="1">
        <f t="array" ref="C1274">IFERROR(INDEX('03.Muestra'!$F$8:$F$42,SMALL(IF("Página Web"='03.Muestra'!$D$8:$D$42,ROW('03.Muestra'!$F$8:$F$42)-MIN(ROW('03.Muestra'!$D$8:$D$42))+1,""),ROW()-1272)),"")</f>
        <v>https://www.comunidad.madrid/hospital/atencionprimaria/ciudadanos</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9</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Profesionales</v>
      </c>
      <c r="C1275" s="85" t="str" cm="1">
        <f t="array" ref="C1275">IFERROR(INDEX('03.Muestra'!$F$8:$F$42,SMALL(IF("Página Web"='03.Muestra'!$D$8:$D$42,ROW('03.Muestra'!$F$8:$F$42)-MIN(ROW('03.Muestra'!$D$8:$D$42))+1,""),ROW()-1272)),"")</f>
        <v>https://www.comunidad.madrid/hospital/atencionprimaria/profesionales</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Comunicación</v>
      </c>
      <c r="C1276" s="85" t="str" cm="1">
        <f t="array" ref="C1276">IFERROR(INDEX('03.Muestra'!$F$8:$F$42,SMALL(IF("Página Web"='03.Muestra'!$D$8:$D$42,ROW('03.Muestra'!$F$8:$F$42)-MIN(ROW('03.Muestra'!$D$8:$D$42))+1,""),ROW()-1272)),"")</f>
        <v>https://www.comunidad.madrid/hospital/atencionprimaria/comunicación</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Nosotros</v>
      </c>
      <c r="C1277" s="85" t="str" cm="1">
        <f t="array" ref="C1277">IFERROR(INDEX('03.Muestra'!$F$8:$F$42,SMALL(IF("Página Web"='03.Muestra'!$D$8:$D$42,ROW('03.Muestra'!$F$8:$F$42)-MIN(ROW('03.Muestra'!$D$8:$D$42))+1,""),ROW()-1272)),"")</f>
        <v>https://www.comunidad.madrid/hospital/atencionprimaria/nosotros</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Videoteca</v>
      </c>
      <c r="C1278" s="85" t="str" cm="1">
        <f t="array" ref="C1278">IFERROR(INDEX('03.Muestra'!$F$8:$F$42,SMALL(IF("Página Web"='03.Muestra'!$D$8:$D$42,ROW('03.Muestra'!$F$8:$F$42)-MIN(ROW('03.Muestra'!$D$8:$D$42))+1,""),ROW()-1272)),"")</f>
        <v>https://www.comunidad.madrid/hospital/atencionprimaria/videoteca</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Accesibilidad</v>
      </c>
      <c r="C1279" s="85" t="str" cm="1">
        <f t="array" ref="C1279">IFERROR(INDEX('03.Muestra'!$F$8:$F$42,SMALL(IF("Página Web"='03.Muestra'!$D$8:$D$42,ROW('03.Muestra'!$F$8:$F$42)-MIN(ROW('03.Muestra'!$D$8:$D$42))+1,""),ROW()-1272)),"")</f>
        <v>https://www.comunidad.madrid/hospital/atencionprimaria/declaracion-accesibilidad</v>
      </c>
      <c r="D1279" s="99" t="s">
        <v>92</v>
      </c>
      <c r="E1279" s="79" t="str">
        <f t="shared" si="66"/>
        <v/>
      </c>
      <c r="F1279" s="18"/>
      <c r="G1279" s="18"/>
      <c r="H1279" s="18"/>
      <c r="I1279" s="18"/>
      <c r="J1279" s="18"/>
      <c r="K1279" s="184"/>
    </row>
    <row r="1280" spans="1:12" ht="12" customHeight="1">
      <c r="A1280" s="39" cm="1">
        <f t="array" ref="A1280">IFERROR(INDEX('03.Muestra'!$B$8:$B$42,SMALL(IF("Página Web"='03.Muestra'!$D$8:$D$42,ROW('03.Muestra'!$B$8:$B$42)-MIN(ROW('03.Muestra'!$D$8:$D$42))+1,""),ROW()-1272)),"")</f>
        <v>8</v>
      </c>
      <c r="B1280" s="85" t="str" cm="1">
        <f t="array" ref="B1280">IFERROR(INDEX('03.Muestra'!$C$8:$C$42,SMALL(IF("Página Web"='03.Muestra'!$D$8:$D$42,ROW('03.Muestra'!$C$8:$C$42)-MIN(ROW('03.Muestra'!$D$8:$D$42))+1,""),ROW()-1272)),"")</f>
        <v>Aviso Legal - Privacidad</v>
      </c>
      <c r="C1280" s="85" t="str" cm="1">
        <f t="array" ref="C1280">IFERROR(INDEX('03.Muestra'!$F$8:$F$42,SMALL(IF("Página Web"='03.Muestra'!$D$8:$D$42,ROW('03.Muestra'!$F$8:$F$42)-MIN(ROW('03.Muestra'!$D$8:$D$42))+1,""),ROW()-1272)),"")</f>
        <v>https://www.comunidad.madrid/hospital/atencionprimaria/aviso-legal-privacidad</v>
      </c>
      <c r="D1280" s="99" t="s">
        <v>92</v>
      </c>
      <c r="E1280" s="79" t="str">
        <f t="shared" si="66"/>
        <v/>
      </c>
      <c r="F1280" s="18"/>
      <c r="G1280" s="18"/>
      <c r="H1280" s="18"/>
      <c r="I1280" s="18"/>
      <c r="J1280" s="18"/>
      <c r="K1280" s="184"/>
    </row>
    <row r="1281" spans="1:12" ht="12" customHeight="1">
      <c r="A1281" s="39" cm="1">
        <f t="array" ref="A1281">IFERROR(INDEX('03.Muestra'!$B$8:$B$42,SMALL(IF("Página Web"='03.Muestra'!$D$8:$D$42,ROW('03.Muestra'!$B$8:$B$42)-MIN(ROW('03.Muestra'!$D$8:$D$42))+1,""),ROW()-1272)),"")</f>
        <v>9</v>
      </c>
      <c r="B1281" s="85" t="str" cm="1">
        <f t="array" ref="B1281">IFERROR(INDEX('03.Muestra'!$C$8:$C$42,SMALL(IF("Página Web"='03.Muestra'!$D$8:$D$42,ROW('03.Muestra'!$C$8:$C$42)-MIN(ROW('03.Muestra'!$D$8:$D$42))+1,""),ROW()-1272)),"")</f>
        <v>Mapa Web</v>
      </c>
      <c r="C1281" s="85" t="str" cm="1">
        <f t="array" ref="C1281">IFERROR(INDEX('03.Muestra'!$F$8:$F$42,SMALL(IF("Página Web"='03.Muestra'!$D$8:$D$42,ROW('03.Muestra'!$F$8:$F$42)-MIN(ROW('03.Muestra'!$D$8:$D$42))+1,""),ROW()-1272)),"")</f>
        <v>https://www.comunidad.madrid/hospital/atencionprimaria/sitemap</v>
      </c>
      <c r="D1281" s="99" t="s">
        <v>92</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ref="D1282:D1307" si="67">IF(AND(B1282&lt;&gt;"",C1282&lt;&gt;""),"N/T","")</f>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https://www.comunidad.madrid/hospital/atencionprimaria/home</v>
      </c>
      <c r="D1311" s="99" t="s">
        <v>92</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Ciudadanos</v>
      </c>
      <c r="C1312" s="85" t="str" cm="1">
        <f t="array" ref="C1312">IFERROR(INDEX('03.Muestra'!$F$8:$F$42,SMALL(IF("Página Web"='03.Muestra'!$D$8:$D$42,ROW('03.Muestra'!$F$8:$F$42)-MIN(ROW('03.Muestra'!$D$8:$D$42))+1,""),ROW()-1310)),"")</f>
        <v>https://www.comunidad.madrid/hospital/atencionprimaria/ciudadanos</v>
      </c>
      <c r="D1312" s="99" t="s">
        <v>92</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9</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Profesionales</v>
      </c>
      <c r="C1313" s="85" t="str" cm="1">
        <f t="array" ref="C1313">IFERROR(INDEX('03.Muestra'!$F$8:$F$42,SMALL(IF("Página Web"='03.Muestra'!$D$8:$D$42,ROW('03.Muestra'!$F$8:$F$42)-MIN(ROW('03.Muestra'!$D$8:$D$42))+1,""),ROW()-1310)),"")</f>
        <v>https://www.comunidad.madrid/hospital/atencionprimaria/profesionales</v>
      </c>
      <c r="D1313" s="99" t="s">
        <v>92</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Comunicación</v>
      </c>
      <c r="C1314" s="85" t="str" cm="1">
        <f t="array" ref="C1314">IFERROR(INDEX('03.Muestra'!$F$8:$F$42,SMALL(IF("Página Web"='03.Muestra'!$D$8:$D$42,ROW('03.Muestra'!$F$8:$F$42)-MIN(ROW('03.Muestra'!$D$8:$D$42))+1,""),ROW()-1310)),"")</f>
        <v>https://www.comunidad.madrid/hospital/atencionprimaria/comunicación</v>
      </c>
      <c r="D1314" s="99" t="s">
        <v>92</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Nosotros</v>
      </c>
      <c r="C1315" s="85" t="str" cm="1">
        <f t="array" ref="C1315">IFERROR(INDEX('03.Muestra'!$F$8:$F$42,SMALL(IF("Página Web"='03.Muestra'!$D$8:$D$42,ROW('03.Muestra'!$F$8:$F$42)-MIN(ROW('03.Muestra'!$D$8:$D$42))+1,""),ROW()-1310)),"")</f>
        <v>https://www.comunidad.madrid/hospital/atencionprimaria/nosotros</v>
      </c>
      <c r="D1315" s="99" t="s">
        <v>92</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Videoteca</v>
      </c>
      <c r="C1316" s="85" t="str" cm="1">
        <f t="array" ref="C1316">IFERROR(INDEX('03.Muestra'!$F$8:$F$42,SMALL(IF("Página Web"='03.Muestra'!$D$8:$D$42,ROW('03.Muestra'!$F$8:$F$42)-MIN(ROW('03.Muestra'!$D$8:$D$42))+1,""),ROW()-1310)),"")</f>
        <v>https://www.comunidad.madrid/hospital/atencionprimaria/videoteca</v>
      </c>
      <c r="D1316" s="99" t="s">
        <v>92</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Accesibilidad</v>
      </c>
      <c r="C1317" s="85" t="str" cm="1">
        <f t="array" ref="C1317">IFERROR(INDEX('03.Muestra'!$F$8:$F$42,SMALL(IF("Página Web"='03.Muestra'!$D$8:$D$42,ROW('03.Muestra'!$F$8:$F$42)-MIN(ROW('03.Muestra'!$D$8:$D$42))+1,""),ROW()-1310)),"")</f>
        <v>https://www.comunidad.madrid/hospital/atencionprimaria/declaracion-accesibilidad</v>
      </c>
      <c r="D1317" s="99" t="s">
        <v>92</v>
      </c>
      <c r="E1317" s="79" t="str">
        <f t="shared" si="68"/>
        <v/>
      </c>
      <c r="F1317" s="18"/>
      <c r="G1317" s="18"/>
      <c r="H1317" s="18"/>
      <c r="I1317" s="18"/>
      <c r="J1317" s="18"/>
      <c r="K1317" s="184"/>
      <c r="L1317" s="18"/>
    </row>
    <row r="1318" spans="1:12" ht="12" customHeight="1">
      <c r="A1318" s="39" cm="1">
        <f t="array" ref="A1318">IFERROR(INDEX('03.Muestra'!$B$8:$B$42,SMALL(IF("Página Web"='03.Muestra'!$D$8:$D$42,ROW('03.Muestra'!$B$8:$B$42)-MIN(ROW('03.Muestra'!$D$8:$D$42))+1,""),ROW()-1310)),"")</f>
        <v>8</v>
      </c>
      <c r="B1318" s="85" t="str" cm="1">
        <f t="array" ref="B1318">IFERROR(INDEX('03.Muestra'!$C$8:$C$42,SMALL(IF("Página Web"='03.Muestra'!$D$8:$D$42,ROW('03.Muestra'!$C$8:$C$42)-MIN(ROW('03.Muestra'!$D$8:$D$42))+1,""),ROW()-1310)),"")</f>
        <v>Aviso Legal - Privacidad</v>
      </c>
      <c r="C1318" s="85" t="str" cm="1">
        <f t="array" ref="C1318">IFERROR(INDEX('03.Muestra'!$F$8:$F$42,SMALL(IF("Página Web"='03.Muestra'!$D$8:$D$42,ROW('03.Muestra'!$F$8:$F$42)-MIN(ROW('03.Muestra'!$D$8:$D$42))+1,""),ROW()-1310)),"")</f>
        <v>https://www.comunidad.madrid/hospital/atencionprimaria/aviso-legal-privacidad</v>
      </c>
      <c r="D1318" s="99" t="s">
        <v>92</v>
      </c>
      <c r="E1318" s="79" t="str">
        <f t="shared" si="68"/>
        <v/>
      </c>
      <c r="F1318" s="18"/>
      <c r="G1318" s="18"/>
      <c r="H1318" s="18"/>
      <c r="I1318" s="18"/>
      <c r="J1318" s="18"/>
      <c r="K1318" s="184"/>
      <c r="L1318" s="18"/>
    </row>
    <row r="1319" spans="1:12" ht="12" customHeight="1">
      <c r="A1319" s="39" cm="1">
        <f t="array" ref="A1319">IFERROR(INDEX('03.Muestra'!$B$8:$B$42,SMALL(IF("Página Web"='03.Muestra'!$D$8:$D$42,ROW('03.Muestra'!$B$8:$B$42)-MIN(ROW('03.Muestra'!$D$8:$D$42))+1,""),ROW()-1310)),"")</f>
        <v>9</v>
      </c>
      <c r="B1319" s="85" t="str" cm="1">
        <f t="array" ref="B1319">IFERROR(INDEX('03.Muestra'!$C$8:$C$42,SMALL(IF("Página Web"='03.Muestra'!$D$8:$D$42,ROW('03.Muestra'!$C$8:$C$42)-MIN(ROW('03.Muestra'!$D$8:$D$42))+1,""),ROW()-1310)),"")</f>
        <v>Mapa Web</v>
      </c>
      <c r="C1319" s="85" t="str" cm="1">
        <f t="array" ref="C1319">IFERROR(INDEX('03.Muestra'!$F$8:$F$42,SMALL(IF("Página Web"='03.Muestra'!$D$8:$D$42,ROW('03.Muestra'!$F$8:$F$42)-MIN(ROW('03.Muestra'!$D$8:$D$42))+1,""),ROW()-1310)),"")</f>
        <v>https://www.comunidad.madrid/hospital/atencionprimaria/sitemap</v>
      </c>
      <c r="D1319" s="99" t="s">
        <v>92</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ref="D1320:D1345" si="69">IF(AND(B1320&lt;&gt;"",C1320&lt;&gt;""),"N/T","")</f>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https://www.comunidad.madrid/hospital/atencionprimaria/home</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Ciudadanos</v>
      </c>
      <c r="C1350" s="85" t="str" cm="1">
        <f t="array" ref="C1350">IFERROR(INDEX('03.Muestra'!$F$8:$F$42,SMALL(IF("Página Web"='03.Muestra'!$D$8:$D$42,ROW('03.Muestra'!$F$8:$F$42)-MIN(ROW('03.Muestra'!$D$8:$D$42))+1,""),ROW()-1348)),"")</f>
        <v>https://www.comunidad.madrid/hospital/atencionprimaria/ciudadanos</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9</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Profesionales</v>
      </c>
      <c r="C1351" s="85" t="str" cm="1">
        <f t="array" ref="C1351">IFERROR(INDEX('03.Muestra'!$F$8:$F$42,SMALL(IF("Página Web"='03.Muestra'!$D$8:$D$42,ROW('03.Muestra'!$F$8:$F$42)-MIN(ROW('03.Muestra'!$D$8:$D$42))+1,""),ROW()-1348)),"")</f>
        <v>https://www.comunidad.madrid/hospital/atencionprimaria/profesionales</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Comunicación</v>
      </c>
      <c r="C1352" s="85" t="str" cm="1">
        <f t="array" ref="C1352">IFERROR(INDEX('03.Muestra'!$F$8:$F$42,SMALL(IF("Página Web"='03.Muestra'!$D$8:$D$42,ROW('03.Muestra'!$F$8:$F$42)-MIN(ROW('03.Muestra'!$D$8:$D$42))+1,""),ROW()-1348)),"")</f>
        <v>https://www.comunidad.madrid/hospital/atencionprimaria/comunicación</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Nosotros</v>
      </c>
      <c r="C1353" s="85" t="str" cm="1">
        <f t="array" ref="C1353">IFERROR(INDEX('03.Muestra'!$F$8:$F$42,SMALL(IF("Página Web"='03.Muestra'!$D$8:$D$42,ROW('03.Muestra'!$F$8:$F$42)-MIN(ROW('03.Muestra'!$D$8:$D$42))+1,""),ROW()-1348)),"")</f>
        <v>https://www.comunidad.madrid/hospital/atencionprimaria/nosotros</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Videoteca</v>
      </c>
      <c r="C1354" s="85" t="str" cm="1">
        <f t="array" ref="C1354">IFERROR(INDEX('03.Muestra'!$F$8:$F$42,SMALL(IF("Página Web"='03.Muestra'!$D$8:$D$42,ROW('03.Muestra'!$F$8:$F$42)-MIN(ROW('03.Muestra'!$D$8:$D$42))+1,""),ROW()-1348)),"")</f>
        <v>https://www.comunidad.madrid/hospital/atencionprimaria/videoteca</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Accesibilidad</v>
      </c>
      <c r="C1355" s="85" t="str" cm="1">
        <f t="array" ref="C1355">IFERROR(INDEX('03.Muestra'!$F$8:$F$42,SMALL(IF("Página Web"='03.Muestra'!$D$8:$D$42,ROW('03.Muestra'!$F$8:$F$42)-MIN(ROW('03.Muestra'!$D$8:$D$42))+1,""),ROW()-1348)),"")</f>
        <v>https://www.comunidad.madrid/hospital/atencionprimaria/declaracion-accesibilidad</v>
      </c>
      <c r="D1355" s="99" t="s">
        <v>104</v>
      </c>
      <c r="E1355" s="79" t="str">
        <f t="shared" si="70"/>
        <v/>
      </c>
      <c r="F1355" s="18"/>
      <c r="G1355" s="18"/>
      <c r="H1355" s="18"/>
      <c r="I1355" s="18"/>
      <c r="J1355" s="18"/>
      <c r="K1355" s="184"/>
      <c r="L1355" s="18"/>
    </row>
    <row r="1356" spans="1:12" ht="12" customHeight="1">
      <c r="A1356" s="39" cm="1">
        <f t="array" ref="A1356">IFERROR(INDEX('03.Muestra'!$B$8:$B$42,SMALL(IF("Página Web"='03.Muestra'!$D$8:$D$42,ROW('03.Muestra'!$B$8:$B$42)-MIN(ROW('03.Muestra'!$D$8:$D$42))+1,""),ROW()-1348)),"")</f>
        <v>8</v>
      </c>
      <c r="B1356" s="85" t="str" cm="1">
        <f t="array" ref="B1356">IFERROR(INDEX('03.Muestra'!$C$8:$C$42,SMALL(IF("Página Web"='03.Muestra'!$D$8:$D$42,ROW('03.Muestra'!$C$8:$C$42)-MIN(ROW('03.Muestra'!$D$8:$D$42))+1,""),ROW()-1348)),"")</f>
        <v>Aviso Legal - Privacidad</v>
      </c>
      <c r="C1356" s="85" t="str" cm="1">
        <f t="array" ref="C1356">IFERROR(INDEX('03.Muestra'!$F$8:$F$42,SMALL(IF("Página Web"='03.Muestra'!$D$8:$D$42,ROW('03.Muestra'!$F$8:$F$42)-MIN(ROW('03.Muestra'!$D$8:$D$42))+1,""),ROW()-1348)),"")</f>
        <v>https://www.comunidad.madrid/hospital/atencionprimaria/aviso-legal-privacidad</v>
      </c>
      <c r="D1356" s="99" t="s">
        <v>104</v>
      </c>
      <c r="E1356" s="79" t="str">
        <f t="shared" si="70"/>
        <v/>
      </c>
      <c r="F1356" s="18"/>
      <c r="G1356" s="18"/>
      <c r="H1356" s="18"/>
      <c r="I1356" s="18"/>
      <c r="J1356" s="18"/>
      <c r="K1356" s="184"/>
      <c r="L1356" s="18"/>
    </row>
    <row r="1357" spans="1:12" ht="12" customHeight="1">
      <c r="A1357" s="39" cm="1">
        <f t="array" ref="A1357">IFERROR(INDEX('03.Muestra'!$B$8:$B$42,SMALL(IF("Página Web"='03.Muestra'!$D$8:$D$42,ROW('03.Muestra'!$B$8:$B$42)-MIN(ROW('03.Muestra'!$D$8:$D$42))+1,""),ROW()-1348)),"")</f>
        <v>9</v>
      </c>
      <c r="B1357" s="85" t="str" cm="1">
        <f t="array" ref="B1357">IFERROR(INDEX('03.Muestra'!$C$8:$C$42,SMALL(IF("Página Web"='03.Muestra'!$D$8:$D$42,ROW('03.Muestra'!$C$8:$C$42)-MIN(ROW('03.Muestra'!$D$8:$D$42))+1,""),ROW()-1348)),"")</f>
        <v>Mapa Web</v>
      </c>
      <c r="C1357" s="85" t="str" cm="1">
        <f t="array" ref="C1357">IFERROR(INDEX('03.Muestra'!$F$8:$F$42,SMALL(IF("Página Web"='03.Muestra'!$D$8:$D$42,ROW('03.Muestra'!$F$8:$F$42)-MIN(ROW('03.Muestra'!$D$8:$D$42))+1,""),ROW()-1348)),"")</f>
        <v>https://www.comunidad.madrid/hospital/atencionprimaria/sitemap</v>
      </c>
      <c r="D1357" s="99" t="s">
        <v>104</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ref="D1358:D1383" si="71">IF(AND(B1358&lt;&gt;"",C1358&lt;&gt;""),"N/T","")</f>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https://www.comunidad.madrid/hospital/atencionprimaria/home</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Ciudadanos</v>
      </c>
      <c r="C1388" s="85" t="str" cm="1">
        <f t="array" ref="C1388">IFERROR(INDEX('03.Muestra'!$F$8:$F$42,SMALL(IF("Página Web"='03.Muestra'!$D$8:$D$42,ROW('03.Muestra'!$F$8:$F$42)-MIN(ROW('03.Muestra'!$D$8:$D$42))+1,""),ROW()-1386)),"")</f>
        <v>https://www.comunidad.madrid/hospital/atencionprimaria/ciudadanos</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9</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Profesionales</v>
      </c>
      <c r="C1389" s="85" t="str" cm="1">
        <f t="array" ref="C1389">IFERROR(INDEX('03.Muestra'!$F$8:$F$42,SMALL(IF("Página Web"='03.Muestra'!$D$8:$D$42,ROW('03.Muestra'!$F$8:$F$42)-MIN(ROW('03.Muestra'!$D$8:$D$42))+1,""),ROW()-1386)),"")</f>
        <v>https://www.comunidad.madrid/hospital/atencionprimaria/profesionales</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Comunicación</v>
      </c>
      <c r="C1390" s="85" t="str" cm="1">
        <f t="array" ref="C1390">IFERROR(INDEX('03.Muestra'!$F$8:$F$42,SMALL(IF("Página Web"='03.Muestra'!$D$8:$D$42,ROW('03.Muestra'!$F$8:$F$42)-MIN(ROW('03.Muestra'!$D$8:$D$42))+1,""),ROW()-1386)),"")</f>
        <v>https://www.comunidad.madrid/hospital/atencionprimaria/comunicación</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Nosotros</v>
      </c>
      <c r="C1391" s="85" t="str" cm="1">
        <f t="array" ref="C1391">IFERROR(INDEX('03.Muestra'!$F$8:$F$42,SMALL(IF("Página Web"='03.Muestra'!$D$8:$D$42,ROW('03.Muestra'!$F$8:$F$42)-MIN(ROW('03.Muestra'!$D$8:$D$42))+1,""),ROW()-1386)),"")</f>
        <v>https://www.comunidad.madrid/hospital/atencionprimaria/nosotros</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Videoteca</v>
      </c>
      <c r="C1392" s="85" t="str" cm="1">
        <f t="array" ref="C1392">IFERROR(INDEX('03.Muestra'!$F$8:$F$42,SMALL(IF("Página Web"='03.Muestra'!$D$8:$D$42,ROW('03.Muestra'!$F$8:$F$42)-MIN(ROW('03.Muestra'!$D$8:$D$42))+1,""),ROW()-1386)),"")</f>
        <v>https://www.comunidad.madrid/hospital/atencionprimaria/videoteca</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Accesibilidad</v>
      </c>
      <c r="C1393" s="85" t="str" cm="1">
        <f t="array" ref="C1393">IFERROR(INDEX('03.Muestra'!$F$8:$F$42,SMALL(IF("Página Web"='03.Muestra'!$D$8:$D$42,ROW('03.Muestra'!$F$8:$F$42)-MIN(ROW('03.Muestra'!$D$8:$D$42))+1,""),ROW()-1386)),"")</f>
        <v>https://www.comunidad.madrid/hospital/atencionprimaria/declaracion-accesibilidad</v>
      </c>
      <c r="D1393" s="99" t="s">
        <v>92</v>
      </c>
      <c r="E1393" s="79" t="str">
        <f t="shared" si="72"/>
        <v/>
      </c>
      <c r="F1393" s="18"/>
      <c r="G1393" s="18"/>
      <c r="H1393" s="18"/>
      <c r="I1393" s="18"/>
      <c r="K1393" s="185"/>
      <c r="L1393" s="18"/>
    </row>
    <row r="1394" spans="1:12" ht="12" customHeight="1">
      <c r="A1394" s="39" cm="1">
        <f t="array" ref="A1394">IFERROR(INDEX('03.Muestra'!$B$8:$B$42,SMALL(IF("Página Web"='03.Muestra'!$D$8:$D$42,ROW('03.Muestra'!$B$8:$B$42)-MIN(ROW('03.Muestra'!$D$8:$D$42))+1,""),ROW()-1386)),"")</f>
        <v>8</v>
      </c>
      <c r="B1394" s="85" t="str" cm="1">
        <f t="array" ref="B1394">IFERROR(INDEX('03.Muestra'!$C$8:$C$42,SMALL(IF("Página Web"='03.Muestra'!$D$8:$D$42,ROW('03.Muestra'!$C$8:$C$42)-MIN(ROW('03.Muestra'!$D$8:$D$42))+1,""),ROW()-1386)),"")</f>
        <v>Aviso Legal - Privacidad</v>
      </c>
      <c r="C1394" s="85" t="str" cm="1">
        <f t="array" ref="C1394">IFERROR(INDEX('03.Muestra'!$F$8:$F$42,SMALL(IF("Página Web"='03.Muestra'!$D$8:$D$42,ROW('03.Muestra'!$F$8:$F$42)-MIN(ROW('03.Muestra'!$D$8:$D$42))+1,""),ROW()-1386)),"")</f>
        <v>https://www.comunidad.madrid/hospital/atencionprimaria/aviso-legal-privacidad</v>
      </c>
      <c r="D1394" s="99" t="s">
        <v>92</v>
      </c>
      <c r="E1394" s="79" t="str">
        <f t="shared" si="72"/>
        <v/>
      </c>
      <c r="F1394" s="18"/>
      <c r="G1394" s="18"/>
      <c r="H1394" s="18"/>
      <c r="I1394" s="18"/>
      <c r="J1394" s="18"/>
      <c r="K1394" s="184"/>
      <c r="L1394" s="18"/>
    </row>
    <row r="1395" spans="1:12" ht="12" customHeight="1">
      <c r="A1395" s="39" cm="1">
        <f t="array" ref="A1395">IFERROR(INDEX('03.Muestra'!$B$8:$B$42,SMALL(IF("Página Web"='03.Muestra'!$D$8:$D$42,ROW('03.Muestra'!$B$8:$B$42)-MIN(ROW('03.Muestra'!$D$8:$D$42))+1,""),ROW()-1386)),"")</f>
        <v>9</v>
      </c>
      <c r="B1395" s="85" t="str" cm="1">
        <f t="array" ref="B1395">IFERROR(INDEX('03.Muestra'!$C$8:$C$42,SMALL(IF("Página Web"='03.Muestra'!$D$8:$D$42,ROW('03.Muestra'!$C$8:$C$42)-MIN(ROW('03.Muestra'!$D$8:$D$42))+1,""),ROW()-1386)),"")</f>
        <v>Mapa Web</v>
      </c>
      <c r="C1395" s="85" t="str" cm="1">
        <f t="array" ref="C1395">IFERROR(INDEX('03.Muestra'!$F$8:$F$42,SMALL(IF("Página Web"='03.Muestra'!$D$8:$D$42,ROW('03.Muestra'!$F$8:$F$42)-MIN(ROW('03.Muestra'!$D$8:$D$42))+1,""),ROW()-1386)),"")</f>
        <v>https://www.comunidad.madrid/hospital/atencionprimaria/sitemap</v>
      </c>
      <c r="D1395" s="99" t="s">
        <v>92</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ref="D1396:D1421" si="73">IF(AND(B1396&lt;&gt;"",C1396&lt;&gt;""),"N/T","")</f>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https://www.comunidad.madrid/hospital/atencionprimaria/home</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Ciudadanos</v>
      </c>
      <c r="C1426" s="85" t="str" cm="1">
        <f t="array" ref="C1426">IFERROR(INDEX('03.Muestra'!$F$8:$F$42,SMALL(IF("Página Web"='03.Muestra'!$D$8:$D$42,ROW('03.Muestra'!$F$8:$F$42)-MIN(ROW('03.Muestra'!$D$8:$D$42))+1,""),ROW()-1424)),"")</f>
        <v>https://www.comunidad.madrid/hospital/atencionprimaria/ciudadanos</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9</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Profesionales</v>
      </c>
      <c r="C1427" s="85" t="str" cm="1">
        <f t="array" ref="C1427">IFERROR(INDEX('03.Muestra'!$F$8:$F$42,SMALL(IF("Página Web"='03.Muestra'!$D$8:$D$42,ROW('03.Muestra'!$F$8:$F$42)-MIN(ROW('03.Muestra'!$D$8:$D$42))+1,""),ROW()-1424)),"")</f>
        <v>https://www.comunidad.madrid/hospital/atencionprimaria/profesionales</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Comunicación</v>
      </c>
      <c r="C1428" s="85" t="str" cm="1">
        <f t="array" ref="C1428">IFERROR(INDEX('03.Muestra'!$F$8:$F$42,SMALL(IF("Página Web"='03.Muestra'!$D$8:$D$42,ROW('03.Muestra'!$F$8:$F$42)-MIN(ROW('03.Muestra'!$D$8:$D$42))+1,""),ROW()-1424)),"")</f>
        <v>https://www.comunidad.madrid/hospital/atencionprimaria/comunicación</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Nosotros</v>
      </c>
      <c r="C1429" s="85" t="str" cm="1">
        <f t="array" ref="C1429">IFERROR(INDEX('03.Muestra'!$F$8:$F$42,SMALL(IF("Página Web"='03.Muestra'!$D$8:$D$42,ROW('03.Muestra'!$F$8:$F$42)-MIN(ROW('03.Muestra'!$D$8:$D$42))+1,""),ROW()-1424)),"")</f>
        <v>https://www.comunidad.madrid/hospital/atencionprimaria/nosotros</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Videoteca</v>
      </c>
      <c r="C1430" s="85" t="str" cm="1">
        <f t="array" ref="C1430">IFERROR(INDEX('03.Muestra'!$F$8:$F$42,SMALL(IF("Página Web"='03.Muestra'!$D$8:$D$42,ROW('03.Muestra'!$F$8:$F$42)-MIN(ROW('03.Muestra'!$D$8:$D$42))+1,""),ROW()-1424)),"")</f>
        <v>https://www.comunidad.madrid/hospital/atencionprimaria/videoteca</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Accesibilidad</v>
      </c>
      <c r="C1431" s="85" t="str" cm="1">
        <f t="array" ref="C1431">IFERROR(INDEX('03.Muestra'!$F$8:$F$42,SMALL(IF("Página Web"='03.Muestra'!$D$8:$D$42,ROW('03.Muestra'!$F$8:$F$42)-MIN(ROW('03.Muestra'!$D$8:$D$42))+1,""),ROW()-1424)),"")</f>
        <v>https://www.comunidad.madrid/hospital/atencionprimaria/declaracion-accesibilidad</v>
      </c>
      <c r="D1431" s="99" t="s">
        <v>104</v>
      </c>
      <c r="E1431" s="79" t="str">
        <f t="shared" si="74"/>
        <v/>
      </c>
      <c r="F1431" s="18"/>
      <c r="G1431" s="18"/>
      <c r="H1431" s="18"/>
      <c r="I1431" s="18"/>
      <c r="J1431" s="18"/>
      <c r="K1431" s="184"/>
      <c r="L1431" s="18"/>
    </row>
    <row r="1432" spans="1:12" ht="12" customHeight="1">
      <c r="A1432" s="39" cm="1">
        <f t="array" ref="A1432">IFERROR(INDEX('03.Muestra'!$B$8:$B$42,SMALL(IF("Página Web"='03.Muestra'!$D$8:$D$42,ROW('03.Muestra'!$B$8:$B$42)-MIN(ROW('03.Muestra'!$D$8:$D$42))+1,""),ROW()-1424)),"")</f>
        <v>8</v>
      </c>
      <c r="B1432" s="85" t="str" cm="1">
        <f t="array" ref="B1432">IFERROR(INDEX('03.Muestra'!$C$8:$C$42,SMALL(IF("Página Web"='03.Muestra'!$D$8:$D$42,ROW('03.Muestra'!$C$8:$C$42)-MIN(ROW('03.Muestra'!$D$8:$D$42))+1,""),ROW()-1424)),"")</f>
        <v>Aviso Legal - Privacidad</v>
      </c>
      <c r="C1432" s="85" t="str" cm="1">
        <f t="array" ref="C1432">IFERROR(INDEX('03.Muestra'!$F$8:$F$42,SMALL(IF("Página Web"='03.Muestra'!$D$8:$D$42,ROW('03.Muestra'!$F$8:$F$42)-MIN(ROW('03.Muestra'!$D$8:$D$42))+1,""),ROW()-1424)),"")</f>
        <v>https://www.comunidad.madrid/hospital/atencionprimaria/aviso-legal-privacidad</v>
      </c>
      <c r="D1432" s="99" t="s">
        <v>104</v>
      </c>
      <c r="E1432" s="79" t="str">
        <f t="shared" si="74"/>
        <v/>
      </c>
      <c r="F1432" s="18"/>
      <c r="G1432" s="18"/>
      <c r="H1432" s="18"/>
      <c r="I1432" s="18"/>
      <c r="J1432" s="18"/>
      <c r="K1432" s="184"/>
      <c r="L1432" s="18"/>
    </row>
    <row r="1433" spans="1:12" ht="12" customHeight="1">
      <c r="A1433" s="39" cm="1">
        <f t="array" ref="A1433">IFERROR(INDEX('03.Muestra'!$B$8:$B$42,SMALL(IF("Página Web"='03.Muestra'!$D$8:$D$42,ROW('03.Muestra'!$B$8:$B$42)-MIN(ROW('03.Muestra'!$D$8:$D$42))+1,""),ROW()-1424)),"")</f>
        <v>9</v>
      </c>
      <c r="B1433" s="85" t="str" cm="1">
        <f t="array" ref="B1433">IFERROR(INDEX('03.Muestra'!$C$8:$C$42,SMALL(IF("Página Web"='03.Muestra'!$D$8:$D$42,ROW('03.Muestra'!$C$8:$C$42)-MIN(ROW('03.Muestra'!$D$8:$D$42))+1,""),ROW()-1424)),"")</f>
        <v>Mapa Web</v>
      </c>
      <c r="C1433" s="85" t="str" cm="1">
        <f t="array" ref="C1433">IFERROR(INDEX('03.Muestra'!$F$8:$F$42,SMALL(IF("Página Web"='03.Muestra'!$D$8:$D$42,ROW('03.Muestra'!$F$8:$F$42)-MIN(ROW('03.Muestra'!$D$8:$D$42))+1,""),ROW()-1424)),"")</f>
        <v>https://www.comunidad.madrid/hospital/atencionprimaria/sitemap</v>
      </c>
      <c r="D1433" s="99" t="s">
        <v>104</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ref="D1434:D1459" si="75">IF(AND(B1434&lt;&gt;"",C1434&lt;&gt;""),"N/T","")</f>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https://www.comunidad.madrid/hospital/atencionprimaria/home</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Ciudadanos</v>
      </c>
      <c r="C1464" s="85" t="str" cm="1">
        <f t="array" ref="C1464">IFERROR(INDEX('03.Muestra'!$F$8:$F$42,SMALL(IF("Página Web"='03.Muestra'!$D$8:$D$42,ROW('03.Muestra'!$F$8:$F$42)-MIN(ROW('03.Muestra'!$D$8:$D$42))+1,""),ROW()-1462)),"")</f>
        <v>https://www.comunidad.madrid/hospital/atencionprimaria/ciudadanos</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9</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Profesionales</v>
      </c>
      <c r="C1465" s="85" t="str" cm="1">
        <f t="array" ref="C1465">IFERROR(INDEX('03.Muestra'!$F$8:$F$42,SMALL(IF("Página Web"='03.Muestra'!$D$8:$D$42,ROW('03.Muestra'!$F$8:$F$42)-MIN(ROW('03.Muestra'!$D$8:$D$42))+1,""),ROW()-1462)),"")</f>
        <v>https://www.comunidad.madrid/hospital/atencionprimaria/profesionales</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Comunicación</v>
      </c>
      <c r="C1466" s="85" t="str" cm="1">
        <f t="array" ref="C1466">IFERROR(INDEX('03.Muestra'!$F$8:$F$42,SMALL(IF("Página Web"='03.Muestra'!$D$8:$D$42,ROW('03.Muestra'!$F$8:$F$42)-MIN(ROW('03.Muestra'!$D$8:$D$42))+1,""),ROW()-1462)),"")</f>
        <v>https://www.comunidad.madrid/hospital/atencionprimaria/comunicación</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Nosotros</v>
      </c>
      <c r="C1467" s="85" t="str" cm="1">
        <f t="array" ref="C1467">IFERROR(INDEX('03.Muestra'!$F$8:$F$42,SMALL(IF("Página Web"='03.Muestra'!$D$8:$D$42,ROW('03.Muestra'!$F$8:$F$42)-MIN(ROW('03.Muestra'!$D$8:$D$42))+1,""),ROW()-1462)),"")</f>
        <v>https://www.comunidad.madrid/hospital/atencionprimaria/nosotros</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Videoteca</v>
      </c>
      <c r="C1468" s="85" t="str" cm="1">
        <f t="array" ref="C1468">IFERROR(INDEX('03.Muestra'!$F$8:$F$42,SMALL(IF("Página Web"='03.Muestra'!$D$8:$D$42,ROW('03.Muestra'!$F$8:$F$42)-MIN(ROW('03.Muestra'!$D$8:$D$42))+1,""),ROW()-1462)),"")</f>
        <v>https://www.comunidad.madrid/hospital/atencionprimaria/videoteca</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Accesibilidad</v>
      </c>
      <c r="C1469" s="85" t="str" cm="1">
        <f t="array" ref="C1469">IFERROR(INDEX('03.Muestra'!$F$8:$F$42,SMALL(IF("Página Web"='03.Muestra'!$D$8:$D$42,ROW('03.Muestra'!$F$8:$F$42)-MIN(ROW('03.Muestra'!$D$8:$D$42))+1,""),ROW()-1462)),"")</f>
        <v>https://www.comunidad.madrid/hospital/atencionprimaria/declaracion-accesibilidad</v>
      </c>
      <c r="D1469" s="99" t="s">
        <v>92</v>
      </c>
      <c r="E1469" s="79" t="str">
        <f t="shared" si="76"/>
        <v/>
      </c>
      <c r="F1469" s="18"/>
      <c r="G1469" s="18"/>
      <c r="H1469" s="18"/>
      <c r="I1469" s="18"/>
      <c r="J1469" s="18"/>
      <c r="K1469" s="184"/>
      <c r="L1469" s="18"/>
    </row>
    <row r="1470" spans="1:12" ht="12" customHeight="1">
      <c r="A1470" s="39" cm="1">
        <f t="array" ref="A1470">IFERROR(INDEX('03.Muestra'!$B$8:$B$42,SMALL(IF("Página Web"='03.Muestra'!$D$8:$D$42,ROW('03.Muestra'!$B$8:$B$42)-MIN(ROW('03.Muestra'!$D$8:$D$42))+1,""),ROW()-1462)),"")</f>
        <v>8</v>
      </c>
      <c r="B1470" s="85" t="str" cm="1">
        <f t="array" ref="B1470">IFERROR(INDEX('03.Muestra'!$C$8:$C$42,SMALL(IF("Página Web"='03.Muestra'!$D$8:$D$42,ROW('03.Muestra'!$C$8:$C$42)-MIN(ROW('03.Muestra'!$D$8:$D$42))+1,""),ROW()-1462)),"")</f>
        <v>Aviso Legal - Privacidad</v>
      </c>
      <c r="C1470" s="85" t="str" cm="1">
        <f t="array" ref="C1470">IFERROR(INDEX('03.Muestra'!$F$8:$F$42,SMALL(IF("Página Web"='03.Muestra'!$D$8:$D$42,ROW('03.Muestra'!$F$8:$F$42)-MIN(ROW('03.Muestra'!$D$8:$D$42))+1,""),ROW()-1462)),"")</f>
        <v>https://www.comunidad.madrid/hospital/atencionprimaria/aviso-legal-privacidad</v>
      </c>
      <c r="D1470" s="99" t="s">
        <v>92</v>
      </c>
      <c r="E1470" s="79" t="str">
        <f t="shared" si="76"/>
        <v/>
      </c>
      <c r="F1470" s="18"/>
      <c r="G1470" s="18"/>
      <c r="H1470" s="18"/>
      <c r="I1470" s="18"/>
      <c r="J1470" s="18"/>
      <c r="K1470" s="184"/>
      <c r="L1470" s="18"/>
    </row>
    <row r="1471" spans="1:12" ht="12" customHeight="1">
      <c r="A1471" s="39" cm="1">
        <f t="array" ref="A1471">IFERROR(INDEX('03.Muestra'!$B$8:$B$42,SMALL(IF("Página Web"='03.Muestra'!$D$8:$D$42,ROW('03.Muestra'!$B$8:$B$42)-MIN(ROW('03.Muestra'!$D$8:$D$42))+1,""),ROW()-1462)),"")</f>
        <v>9</v>
      </c>
      <c r="B1471" s="85" t="str" cm="1">
        <f t="array" ref="B1471">IFERROR(INDEX('03.Muestra'!$C$8:$C$42,SMALL(IF("Página Web"='03.Muestra'!$D$8:$D$42,ROW('03.Muestra'!$C$8:$C$42)-MIN(ROW('03.Muestra'!$D$8:$D$42))+1,""),ROW()-1462)),"")</f>
        <v>Mapa Web</v>
      </c>
      <c r="C1471" s="85" t="str" cm="1">
        <f t="array" ref="C1471">IFERROR(INDEX('03.Muestra'!$F$8:$F$42,SMALL(IF("Página Web"='03.Muestra'!$D$8:$D$42,ROW('03.Muestra'!$F$8:$F$42)-MIN(ROW('03.Muestra'!$D$8:$D$42))+1,""),ROW()-1462)),"")</f>
        <v>https://www.comunidad.madrid/hospital/atencionprimaria/sitemap</v>
      </c>
      <c r="D1471" s="99" t="s">
        <v>92</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ref="D1472:D1497" si="77">IF(AND(B1472&lt;&gt;"",C1472&lt;&gt;""),"N/T","")</f>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https://www.comunidad.madrid/hospital/atencionprimaria/home</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Ciudadanos</v>
      </c>
      <c r="C1502" s="85" t="str" cm="1">
        <f t="array" ref="C1502">IFERROR(INDEX('03.Muestra'!$F$8:$F$42,SMALL(IF("Página Web"='03.Muestra'!$D$8:$D$42,ROW('03.Muestra'!$F$8:$F$42)-MIN(ROW('03.Muestra'!$D$8:$D$42))+1,""),ROW()-1500)),"")</f>
        <v>https://www.comunidad.madrid/hospital/atencionprimaria/ciudadanos</v>
      </c>
      <c r="D1502" s="99" t="s">
        <v>92</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9</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Profesionales</v>
      </c>
      <c r="C1503" s="85" t="str" cm="1">
        <f t="array" ref="C1503">IFERROR(INDEX('03.Muestra'!$F$8:$F$42,SMALL(IF("Página Web"='03.Muestra'!$D$8:$D$42,ROW('03.Muestra'!$F$8:$F$42)-MIN(ROW('03.Muestra'!$D$8:$D$42))+1,""),ROW()-1500)),"")</f>
        <v>https://www.comunidad.madrid/hospital/atencionprimaria/profesionales</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Comunicación</v>
      </c>
      <c r="C1504" s="85" t="str" cm="1">
        <f t="array" ref="C1504">IFERROR(INDEX('03.Muestra'!$F$8:$F$42,SMALL(IF("Página Web"='03.Muestra'!$D$8:$D$42,ROW('03.Muestra'!$F$8:$F$42)-MIN(ROW('03.Muestra'!$D$8:$D$42))+1,""),ROW()-1500)),"")</f>
        <v>https://www.comunidad.madrid/hospital/atencionprimaria/comunicación</v>
      </c>
      <c r="D1504" s="99" t="s">
        <v>92</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Nosotros</v>
      </c>
      <c r="C1505" s="85" t="str" cm="1">
        <f t="array" ref="C1505">IFERROR(INDEX('03.Muestra'!$F$8:$F$42,SMALL(IF("Página Web"='03.Muestra'!$D$8:$D$42,ROW('03.Muestra'!$F$8:$F$42)-MIN(ROW('03.Muestra'!$D$8:$D$42))+1,""),ROW()-1500)),"")</f>
        <v>https://www.comunidad.madrid/hospital/atencionprimaria/nosotros</v>
      </c>
      <c r="D1505" s="99" t="s">
        <v>92</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Videoteca</v>
      </c>
      <c r="C1506" s="85" t="str" cm="1">
        <f t="array" ref="C1506">IFERROR(INDEX('03.Muestra'!$F$8:$F$42,SMALL(IF("Página Web"='03.Muestra'!$D$8:$D$42,ROW('03.Muestra'!$F$8:$F$42)-MIN(ROW('03.Muestra'!$D$8:$D$42))+1,""),ROW()-1500)),"")</f>
        <v>https://www.comunidad.madrid/hospital/atencionprimaria/videoteca</v>
      </c>
      <c r="D1506" s="99" t="s">
        <v>92</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Accesibilidad</v>
      </c>
      <c r="C1507" s="85" t="str" cm="1">
        <f t="array" ref="C1507">IFERROR(INDEX('03.Muestra'!$F$8:$F$42,SMALL(IF("Página Web"='03.Muestra'!$D$8:$D$42,ROW('03.Muestra'!$F$8:$F$42)-MIN(ROW('03.Muestra'!$D$8:$D$42))+1,""),ROW()-1500)),"")</f>
        <v>https://www.comunidad.madrid/hospital/atencionprimaria/declaracion-accesibilidad</v>
      </c>
      <c r="D1507" s="99" t="s">
        <v>92</v>
      </c>
      <c r="E1507" s="79" t="str">
        <f t="shared" si="78"/>
        <v/>
      </c>
      <c r="F1507" s="18"/>
      <c r="G1507" s="18"/>
      <c r="H1507" s="18"/>
      <c r="I1507" s="18"/>
      <c r="J1507" s="18"/>
      <c r="K1507" s="184"/>
      <c r="L1507" s="18"/>
    </row>
    <row r="1508" spans="1:12" ht="12" customHeight="1">
      <c r="A1508" s="39" cm="1">
        <f t="array" ref="A1508">IFERROR(INDEX('03.Muestra'!$B$8:$B$42,SMALL(IF("Página Web"='03.Muestra'!$D$8:$D$42,ROW('03.Muestra'!$B$8:$B$42)-MIN(ROW('03.Muestra'!$D$8:$D$42))+1,""),ROW()-1500)),"")</f>
        <v>8</v>
      </c>
      <c r="B1508" s="85" t="str" cm="1">
        <f t="array" ref="B1508">IFERROR(INDEX('03.Muestra'!$C$8:$C$42,SMALL(IF("Página Web"='03.Muestra'!$D$8:$D$42,ROW('03.Muestra'!$C$8:$C$42)-MIN(ROW('03.Muestra'!$D$8:$D$42))+1,""),ROW()-1500)),"")</f>
        <v>Aviso Legal - Privacidad</v>
      </c>
      <c r="C1508" s="85" t="str" cm="1">
        <f t="array" ref="C1508">IFERROR(INDEX('03.Muestra'!$F$8:$F$42,SMALL(IF("Página Web"='03.Muestra'!$D$8:$D$42,ROW('03.Muestra'!$F$8:$F$42)-MIN(ROW('03.Muestra'!$D$8:$D$42))+1,""),ROW()-1500)),"")</f>
        <v>https://www.comunidad.madrid/hospital/atencionprimaria/aviso-legal-privacidad</v>
      </c>
      <c r="D1508" s="99" t="s">
        <v>92</v>
      </c>
      <c r="E1508" s="79" t="str">
        <f t="shared" si="78"/>
        <v/>
      </c>
      <c r="F1508" s="18"/>
      <c r="G1508" s="18"/>
      <c r="H1508" s="18"/>
      <c r="I1508" s="18"/>
      <c r="J1508" s="18"/>
      <c r="K1508" s="184"/>
      <c r="L1508" s="18"/>
    </row>
    <row r="1509" spans="1:12" ht="12" customHeight="1">
      <c r="A1509" s="39" cm="1">
        <f t="array" ref="A1509">IFERROR(INDEX('03.Muestra'!$B$8:$B$42,SMALL(IF("Página Web"='03.Muestra'!$D$8:$D$42,ROW('03.Muestra'!$B$8:$B$42)-MIN(ROW('03.Muestra'!$D$8:$D$42))+1,""),ROW()-1500)),"")</f>
        <v>9</v>
      </c>
      <c r="B1509" s="85" t="str" cm="1">
        <f t="array" ref="B1509">IFERROR(INDEX('03.Muestra'!$C$8:$C$42,SMALL(IF("Página Web"='03.Muestra'!$D$8:$D$42,ROW('03.Muestra'!$C$8:$C$42)-MIN(ROW('03.Muestra'!$D$8:$D$42))+1,""),ROW()-1500)),"")</f>
        <v>Mapa Web</v>
      </c>
      <c r="C1509" s="85" t="str" cm="1">
        <f t="array" ref="C1509">IFERROR(INDEX('03.Muestra'!$F$8:$F$42,SMALL(IF("Página Web"='03.Muestra'!$D$8:$D$42,ROW('03.Muestra'!$F$8:$F$42)-MIN(ROW('03.Muestra'!$D$8:$D$42))+1,""),ROW()-1500)),"")</f>
        <v>https://www.comunidad.madrid/hospital/atencionprimaria/sitemap</v>
      </c>
      <c r="D1509" s="99" t="s">
        <v>92</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ref="D1510:D1535" si="79">IF(AND(B1510&lt;&gt;"",C1510&lt;&gt;""),"N/T","")</f>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https://www.comunidad.madrid/hospital/atencionprimaria/home</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Ciudadanos</v>
      </c>
      <c r="C1540" s="85" t="str" cm="1">
        <f t="array" ref="C1540">IFERROR(INDEX('03.Muestra'!$F$8:$F$42,SMALL(IF("Página Web"='03.Muestra'!$D$8:$D$42,ROW('03.Muestra'!$F$8:$F$42)-MIN(ROW('03.Muestra'!$D$8:$D$42))+1,""),ROW()-1538)),"")</f>
        <v>https://www.comunidad.madrid/hospital/atencionprimaria/ciudadanos</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9</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Profesionales</v>
      </c>
      <c r="C1541" s="85" t="str" cm="1">
        <f t="array" ref="C1541">IFERROR(INDEX('03.Muestra'!$F$8:$F$42,SMALL(IF("Página Web"='03.Muestra'!$D$8:$D$42,ROW('03.Muestra'!$F$8:$F$42)-MIN(ROW('03.Muestra'!$D$8:$D$42))+1,""),ROW()-1538)),"")</f>
        <v>https://www.comunidad.madrid/hospital/atencionprimaria/profesionales</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Comunicación</v>
      </c>
      <c r="C1542" s="85" t="str" cm="1">
        <f t="array" ref="C1542">IFERROR(INDEX('03.Muestra'!$F$8:$F$42,SMALL(IF("Página Web"='03.Muestra'!$D$8:$D$42,ROW('03.Muestra'!$F$8:$F$42)-MIN(ROW('03.Muestra'!$D$8:$D$42))+1,""),ROW()-1538)),"")</f>
        <v>https://www.comunidad.madrid/hospital/atencionprimaria/comunicación</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Nosotros</v>
      </c>
      <c r="C1543" s="85" t="str" cm="1">
        <f t="array" ref="C1543">IFERROR(INDEX('03.Muestra'!$F$8:$F$42,SMALL(IF("Página Web"='03.Muestra'!$D$8:$D$42,ROW('03.Muestra'!$F$8:$F$42)-MIN(ROW('03.Muestra'!$D$8:$D$42))+1,""),ROW()-1538)),"")</f>
        <v>https://www.comunidad.madrid/hospital/atencionprimaria/nosotros</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Videoteca</v>
      </c>
      <c r="C1544" s="85" t="str" cm="1">
        <f t="array" ref="C1544">IFERROR(INDEX('03.Muestra'!$F$8:$F$42,SMALL(IF("Página Web"='03.Muestra'!$D$8:$D$42,ROW('03.Muestra'!$F$8:$F$42)-MIN(ROW('03.Muestra'!$D$8:$D$42))+1,""),ROW()-1538)),"")</f>
        <v>https://www.comunidad.madrid/hospital/atencionprimaria/videoteca</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Accesibilidad</v>
      </c>
      <c r="C1545" s="85" t="str" cm="1">
        <f t="array" ref="C1545">IFERROR(INDEX('03.Muestra'!$F$8:$F$42,SMALL(IF("Página Web"='03.Muestra'!$D$8:$D$42,ROW('03.Muestra'!$F$8:$F$42)-MIN(ROW('03.Muestra'!$D$8:$D$42))+1,""),ROW()-1538)),"")</f>
        <v>https://www.comunidad.madrid/hospital/atencionprimaria/declaracion-accesibilidad</v>
      </c>
      <c r="D1545" s="99" t="s">
        <v>92</v>
      </c>
      <c r="E1545" s="79" t="str">
        <f t="shared" si="80"/>
        <v/>
      </c>
      <c r="F1545" s="18"/>
      <c r="G1545" s="18"/>
      <c r="H1545" s="18"/>
      <c r="I1545" s="18"/>
      <c r="J1545" s="18"/>
      <c r="K1545" s="184"/>
    </row>
    <row r="1546" spans="1:12" ht="12" customHeight="1">
      <c r="A1546" s="39" cm="1">
        <f t="array" ref="A1546">IFERROR(INDEX('03.Muestra'!$B$8:$B$42,SMALL(IF("Página Web"='03.Muestra'!$D$8:$D$42,ROW('03.Muestra'!$B$8:$B$42)-MIN(ROW('03.Muestra'!$D$8:$D$42))+1,""),ROW()-1538)),"")</f>
        <v>8</v>
      </c>
      <c r="B1546" s="85" t="str" cm="1">
        <f t="array" ref="B1546">IFERROR(INDEX('03.Muestra'!$C$8:$C$42,SMALL(IF("Página Web"='03.Muestra'!$D$8:$D$42,ROW('03.Muestra'!$C$8:$C$42)-MIN(ROW('03.Muestra'!$D$8:$D$42))+1,""),ROW()-1538)),"")</f>
        <v>Aviso Legal - Privacidad</v>
      </c>
      <c r="C1546" s="85" t="str" cm="1">
        <f t="array" ref="C1546">IFERROR(INDEX('03.Muestra'!$F$8:$F$42,SMALL(IF("Página Web"='03.Muestra'!$D$8:$D$42,ROW('03.Muestra'!$F$8:$F$42)-MIN(ROW('03.Muestra'!$D$8:$D$42))+1,""),ROW()-1538)),"")</f>
        <v>https://www.comunidad.madrid/hospital/atencionprimaria/aviso-legal-privacidad</v>
      </c>
      <c r="D1546" s="99" t="s">
        <v>92</v>
      </c>
      <c r="E1546" s="79" t="str">
        <f t="shared" si="80"/>
        <v/>
      </c>
      <c r="F1546" s="18"/>
      <c r="G1546" s="18"/>
      <c r="H1546" s="18"/>
      <c r="I1546" s="18"/>
      <c r="J1546" s="18"/>
      <c r="K1546" s="184"/>
      <c r="L1546" s="18"/>
    </row>
    <row r="1547" spans="1:12" ht="12" customHeight="1">
      <c r="A1547" s="39" cm="1">
        <f t="array" ref="A1547">IFERROR(INDEX('03.Muestra'!$B$8:$B$42,SMALL(IF("Página Web"='03.Muestra'!$D$8:$D$42,ROW('03.Muestra'!$B$8:$B$42)-MIN(ROW('03.Muestra'!$D$8:$D$42))+1,""),ROW()-1538)),"")</f>
        <v>9</v>
      </c>
      <c r="B1547" s="85" t="str" cm="1">
        <f t="array" ref="B1547">IFERROR(INDEX('03.Muestra'!$C$8:$C$42,SMALL(IF("Página Web"='03.Muestra'!$D$8:$D$42,ROW('03.Muestra'!$C$8:$C$42)-MIN(ROW('03.Muestra'!$D$8:$D$42))+1,""),ROW()-1538)),"")</f>
        <v>Mapa Web</v>
      </c>
      <c r="C1547" s="85" t="str" cm="1">
        <f t="array" ref="C1547">IFERROR(INDEX('03.Muestra'!$F$8:$F$42,SMALL(IF("Página Web"='03.Muestra'!$D$8:$D$42,ROW('03.Muestra'!$F$8:$F$42)-MIN(ROW('03.Muestra'!$D$8:$D$42))+1,""),ROW()-1538)),"")</f>
        <v>https://www.comunidad.madrid/hospital/atencionprimaria/sitemap</v>
      </c>
      <c r="D1547" s="99" t="s">
        <v>92</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ref="D1548:D1573" si="81">IF(AND(B1548&lt;&gt;"",C1548&lt;&gt;""),"N/T","")</f>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https://www.comunidad.madrid/hospital/atencionprimaria/home</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Ciudadanos</v>
      </c>
      <c r="C1578" s="85" t="str" cm="1">
        <f t="array" ref="C1578">IFERROR(INDEX('03.Muestra'!$F$8:$F$42,SMALL(IF("Página Web"='03.Muestra'!$D$8:$D$42,ROW('03.Muestra'!$F$8:$F$42)-MIN(ROW('03.Muestra'!$D$8:$D$42))+1,""),ROW()-1576)),"")</f>
        <v>https://www.comunidad.madrid/hospital/atencionprimaria/ciudadanos</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9</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Profesionales</v>
      </c>
      <c r="C1579" s="85" t="str" cm="1">
        <f t="array" ref="C1579">IFERROR(INDEX('03.Muestra'!$F$8:$F$42,SMALL(IF("Página Web"='03.Muestra'!$D$8:$D$42,ROW('03.Muestra'!$F$8:$F$42)-MIN(ROW('03.Muestra'!$D$8:$D$42))+1,""),ROW()-1576)),"")</f>
        <v>https://www.comunidad.madrid/hospital/atencionprimaria/profesionales</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Comunicación</v>
      </c>
      <c r="C1580" s="85" t="str" cm="1">
        <f t="array" ref="C1580">IFERROR(INDEX('03.Muestra'!$F$8:$F$42,SMALL(IF("Página Web"='03.Muestra'!$D$8:$D$42,ROW('03.Muestra'!$F$8:$F$42)-MIN(ROW('03.Muestra'!$D$8:$D$42))+1,""),ROW()-1576)),"")</f>
        <v>https://www.comunidad.madrid/hospital/atencionprimaria/comunicación</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Nosotros</v>
      </c>
      <c r="C1581" s="85" t="str" cm="1">
        <f t="array" ref="C1581">IFERROR(INDEX('03.Muestra'!$F$8:$F$42,SMALL(IF("Página Web"='03.Muestra'!$D$8:$D$42,ROW('03.Muestra'!$F$8:$F$42)-MIN(ROW('03.Muestra'!$D$8:$D$42))+1,""),ROW()-1576)),"")</f>
        <v>https://www.comunidad.madrid/hospital/atencionprimaria/nosotros</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Videoteca</v>
      </c>
      <c r="C1582" s="85" t="str" cm="1">
        <f t="array" ref="C1582">IFERROR(INDEX('03.Muestra'!$F$8:$F$42,SMALL(IF("Página Web"='03.Muestra'!$D$8:$D$42,ROW('03.Muestra'!$F$8:$F$42)-MIN(ROW('03.Muestra'!$D$8:$D$42))+1,""),ROW()-1576)),"")</f>
        <v>https://www.comunidad.madrid/hospital/atencionprimaria/videoteca</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Accesibilidad</v>
      </c>
      <c r="C1583" s="85" t="str" cm="1">
        <f t="array" ref="C1583">IFERROR(INDEX('03.Muestra'!$F$8:$F$42,SMALL(IF("Página Web"='03.Muestra'!$D$8:$D$42,ROW('03.Muestra'!$F$8:$F$42)-MIN(ROW('03.Muestra'!$D$8:$D$42))+1,""),ROW()-1576)),"")</f>
        <v>https://www.comunidad.madrid/hospital/atencionprimaria/declaracion-accesibilidad</v>
      </c>
      <c r="D1583" s="99" t="s">
        <v>92</v>
      </c>
      <c r="E1583" s="79" t="str">
        <f t="shared" si="82"/>
        <v/>
      </c>
      <c r="F1583" s="18"/>
      <c r="G1583" s="18"/>
      <c r="H1583" s="18"/>
      <c r="I1583" s="18"/>
      <c r="J1583" s="18"/>
      <c r="K1583" s="184"/>
      <c r="L1583" s="18"/>
    </row>
    <row r="1584" spans="1:12" ht="12" customHeight="1">
      <c r="A1584" s="39" cm="1">
        <f t="array" ref="A1584">IFERROR(INDEX('03.Muestra'!$B$8:$B$42,SMALL(IF("Página Web"='03.Muestra'!$D$8:$D$42,ROW('03.Muestra'!$B$8:$B$42)-MIN(ROW('03.Muestra'!$D$8:$D$42))+1,""),ROW()-1576)),"")</f>
        <v>8</v>
      </c>
      <c r="B1584" s="85" t="str" cm="1">
        <f t="array" ref="B1584">IFERROR(INDEX('03.Muestra'!$C$8:$C$42,SMALL(IF("Página Web"='03.Muestra'!$D$8:$D$42,ROW('03.Muestra'!$C$8:$C$42)-MIN(ROW('03.Muestra'!$D$8:$D$42))+1,""),ROW()-1576)),"")</f>
        <v>Aviso Legal - Privacidad</v>
      </c>
      <c r="C1584" s="85" t="str" cm="1">
        <f t="array" ref="C1584">IFERROR(INDEX('03.Muestra'!$F$8:$F$42,SMALL(IF("Página Web"='03.Muestra'!$D$8:$D$42,ROW('03.Muestra'!$F$8:$F$42)-MIN(ROW('03.Muestra'!$D$8:$D$42))+1,""),ROW()-1576)),"")</f>
        <v>https://www.comunidad.madrid/hospital/atencionprimaria/aviso-legal-privacidad</v>
      </c>
      <c r="D1584" s="99" t="s">
        <v>92</v>
      </c>
      <c r="E1584" s="79" t="str">
        <f t="shared" si="82"/>
        <v/>
      </c>
      <c r="F1584" s="18"/>
      <c r="G1584" s="18"/>
      <c r="H1584" s="18"/>
      <c r="I1584" s="18"/>
      <c r="J1584" s="18"/>
      <c r="K1584" s="184"/>
      <c r="L1584" s="18"/>
    </row>
    <row r="1585" spans="1:12" ht="12" customHeight="1">
      <c r="A1585" s="39" cm="1">
        <f t="array" ref="A1585">IFERROR(INDEX('03.Muestra'!$B$8:$B$42,SMALL(IF("Página Web"='03.Muestra'!$D$8:$D$42,ROW('03.Muestra'!$B$8:$B$42)-MIN(ROW('03.Muestra'!$D$8:$D$42))+1,""),ROW()-1576)),"")</f>
        <v>9</v>
      </c>
      <c r="B1585" s="85" t="str" cm="1">
        <f t="array" ref="B1585">IFERROR(INDEX('03.Muestra'!$C$8:$C$42,SMALL(IF("Página Web"='03.Muestra'!$D$8:$D$42,ROW('03.Muestra'!$C$8:$C$42)-MIN(ROW('03.Muestra'!$D$8:$D$42))+1,""),ROW()-1576)),"")</f>
        <v>Mapa Web</v>
      </c>
      <c r="C1585" s="85" t="str" cm="1">
        <f t="array" ref="C1585">IFERROR(INDEX('03.Muestra'!$F$8:$F$42,SMALL(IF("Página Web"='03.Muestra'!$D$8:$D$42,ROW('03.Muestra'!$F$8:$F$42)-MIN(ROW('03.Muestra'!$D$8:$D$42))+1,""),ROW()-1576)),"")</f>
        <v>https://www.comunidad.madrid/hospital/atencionprimaria/sitemap</v>
      </c>
      <c r="D1585" s="99" t="s">
        <v>92</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ref="D1586:D1611" si="83">IF(AND(B1586&lt;&gt;"",C1586&lt;&gt;""),"N/T","")</f>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https://www.comunidad.madrid/hospital/atencionprimaria/home</v>
      </c>
      <c r="D1615" s="99" t="s">
        <v>104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Ciudadanos</v>
      </c>
      <c r="C1616" s="85" t="str" cm="1">
        <f t="array" ref="C1616">IFERROR(INDEX('03.Muestra'!$F$8:$F$42,SMALL(IF("Página Web"='03.Muestra'!$D$8:$D$42,ROW('03.Muestra'!$F$8:$F$42)-MIN(ROW('03.Muestra'!$D$8:$D$42))+1,""),ROW()-1614)),"")</f>
        <v>https://www.comunidad.madrid/hospital/atencionprimaria/ciudadanos</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9</v>
      </c>
      <c r="I1616" s="91">
        <f ca="1">COUNTIF($D1615:INDIRECT("$D" &amp;  SUM(ROW()-1,'03.Muestra'!$D$45)-1),I1615)</f>
        <v>0</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Profesionales</v>
      </c>
      <c r="C1617" s="85" t="str" cm="1">
        <f t="array" ref="C1617">IFERROR(INDEX('03.Muestra'!$F$8:$F$42,SMALL(IF("Página Web"='03.Muestra'!$D$8:$D$42,ROW('03.Muestra'!$F$8:$F$42)-MIN(ROW('03.Muestra'!$D$8:$D$42))+1,""),ROW()-1614)),"")</f>
        <v>https://www.comunidad.madrid/hospital/atencionprimaria/profesionales</v>
      </c>
      <c r="D1617" s="99" t="s">
        <v>104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Comunicación</v>
      </c>
      <c r="C1618" s="85" t="str" cm="1">
        <f t="array" ref="C1618">IFERROR(INDEX('03.Muestra'!$F$8:$F$42,SMALL(IF("Página Web"='03.Muestra'!$D$8:$D$42,ROW('03.Muestra'!$F$8:$F$42)-MIN(ROW('03.Muestra'!$D$8:$D$42))+1,""),ROW()-1614)),"")</f>
        <v>https://www.comunidad.madrid/hospital/atencionprimaria/comunicación</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Nosotros</v>
      </c>
      <c r="C1619" s="85" t="str" cm="1">
        <f t="array" ref="C1619">IFERROR(INDEX('03.Muestra'!$F$8:$F$42,SMALL(IF("Página Web"='03.Muestra'!$D$8:$D$42,ROW('03.Muestra'!$F$8:$F$42)-MIN(ROW('03.Muestra'!$D$8:$D$42))+1,""),ROW()-1614)),"")</f>
        <v>https://www.comunidad.madrid/hospital/atencionprimaria/nosotros</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Videoteca</v>
      </c>
      <c r="C1620" s="85" t="str" cm="1">
        <f t="array" ref="C1620">IFERROR(INDEX('03.Muestra'!$F$8:$F$42,SMALL(IF("Página Web"='03.Muestra'!$D$8:$D$42,ROW('03.Muestra'!$F$8:$F$42)-MIN(ROW('03.Muestra'!$D$8:$D$42))+1,""),ROW()-1614)),"")</f>
        <v>https://www.comunidad.madrid/hospital/atencionprimaria/videoteca</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Accesibilidad</v>
      </c>
      <c r="C1621" s="85" t="str" cm="1">
        <f t="array" ref="C1621">IFERROR(INDEX('03.Muestra'!$F$8:$F$42,SMALL(IF("Página Web"='03.Muestra'!$D$8:$D$42,ROW('03.Muestra'!$F$8:$F$42)-MIN(ROW('03.Muestra'!$D$8:$D$42))+1,""),ROW()-1614)),"")</f>
        <v>https://www.comunidad.madrid/hospital/atencionprimaria/declaracion-accesibilidad</v>
      </c>
      <c r="D1621" s="99" t="s">
        <v>104</v>
      </c>
      <c r="E1621" s="79" t="str">
        <f t="shared" si="84"/>
        <v/>
      </c>
      <c r="F1621" s="18"/>
      <c r="G1621" s="18"/>
      <c r="H1621" s="18"/>
      <c r="I1621" s="18"/>
      <c r="J1621" s="18"/>
      <c r="K1621" s="184"/>
    </row>
    <row r="1622" spans="1:11" ht="12" customHeight="1">
      <c r="A1622" s="39" cm="1">
        <f t="array" ref="A1622">IFERROR(INDEX('03.Muestra'!$B$8:$B$42,SMALL(IF("Página Web"='03.Muestra'!$D$8:$D$42,ROW('03.Muestra'!$B$8:$B$42)-MIN(ROW('03.Muestra'!$D$8:$D$42))+1,""),ROW()-1614)),"")</f>
        <v>8</v>
      </c>
      <c r="B1622" s="85" t="str" cm="1">
        <f t="array" ref="B1622">IFERROR(INDEX('03.Muestra'!$C$8:$C$42,SMALL(IF("Página Web"='03.Muestra'!$D$8:$D$42,ROW('03.Muestra'!$C$8:$C$42)-MIN(ROW('03.Muestra'!$D$8:$D$42))+1,""),ROW()-1614)),"")</f>
        <v>Aviso Legal - Privacidad</v>
      </c>
      <c r="C1622" s="85" t="str" cm="1">
        <f t="array" ref="C1622">IFERROR(INDEX('03.Muestra'!$F$8:$F$42,SMALL(IF("Página Web"='03.Muestra'!$D$8:$D$42,ROW('03.Muestra'!$F$8:$F$42)-MIN(ROW('03.Muestra'!$D$8:$D$42))+1,""),ROW()-1614)),"")</f>
        <v>https://www.comunidad.madrid/hospital/atencionprimaria/aviso-legal-privacidad</v>
      </c>
      <c r="D1622" s="99" t="s">
        <v>104</v>
      </c>
      <c r="E1622" s="79" t="str">
        <f t="shared" si="84"/>
        <v/>
      </c>
      <c r="F1622" s="18"/>
      <c r="G1622" s="18"/>
      <c r="H1622" s="18"/>
      <c r="I1622" s="18"/>
      <c r="J1622" s="18"/>
      <c r="K1622" s="184"/>
    </row>
    <row r="1623" spans="1:11" ht="12" customHeight="1">
      <c r="A1623" s="39" cm="1">
        <f t="array" ref="A1623">IFERROR(INDEX('03.Muestra'!$B$8:$B$42,SMALL(IF("Página Web"='03.Muestra'!$D$8:$D$42,ROW('03.Muestra'!$B$8:$B$42)-MIN(ROW('03.Muestra'!$D$8:$D$42))+1,""),ROW()-1614)),"")</f>
        <v>9</v>
      </c>
      <c r="B1623" s="85" t="str" cm="1">
        <f t="array" ref="B1623">IFERROR(INDEX('03.Muestra'!$C$8:$C$42,SMALL(IF("Página Web"='03.Muestra'!$D$8:$D$42,ROW('03.Muestra'!$C$8:$C$42)-MIN(ROW('03.Muestra'!$D$8:$D$42))+1,""),ROW()-1614)),"")</f>
        <v>Mapa Web</v>
      </c>
      <c r="C1623" s="85" t="str" cm="1">
        <f t="array" ref="C1623">IFERROR(INDEX('03.Muestra'!$F$8:$F$42,SMALL(IF("Página Web"='03.Muestra'!$D$8:$D$42,ROW('03.Muestra'!$F$8:$F$42)-MIN(ROW('03.Muestra'!$D$8:$D$42))+1,""),ROW()-1614)),"")</f>
        <v>https://www.comunidad.madrid/hospital/atencionprimaria/sitemap</v>
      </c>
      <c r="D1623" s="99" t="s">
        <v>104</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ref="D1624:D1649" si="85">IF(AND(B1624&lt;&gt;"",C1624&lt;&gt;""),"N/T","")</f>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https://www.comunidad.madrid/hospital/atencionprimaria/home</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Ciudadanos</v>
      </c>
      <c r="C1654" s="85" t="str" cm="1">
        <f t="array" ref="C1654">IFERROR(INDEX('03.Muestra'!$F$8:$F$42,SMALL(IF("Página Web"='03.Muestra'!$D$8:$D$42,ROW('03.Muestra'!$F$8:$F$42)-MIN(ROW('03.Muestra'!$D$8:$D$42))+1,""),ROW()-1652)),"")</f>
        <v>https://www.comunidad.madrid/hospital/atencionprimaria/ciudadanos</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9</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Profesionales</v>
      </c>
      <c r="C1655" s="85" t="str" cm="1">
        <f t="array" ref="C1655">IFERROR(INDEX('03.Muestra'!$F$8:$F$42,SMALL(IF("Página Web"='03.Muestra'!$D$8:$D$42,ROW('03.Muestra'!$F$8:$F$42)-MIN(ROW('03.Muestra'!$D$8:$D$42))+1,""),ROW()-1652)),"")</f>
        <v>https://www.comunidad.madrid/hospital/atencionprimaria/profesionales</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Comunicación</v>
      </c>
      <c r="C1656" s="85" t="str" cm="1">
        <f t="array" ref="C1656">IFERROR(INDEX('03.Muestra'!$F$8:$F$42,SMALL(IF("Página Web"='03.Muestra'!$D$8:$D$42,ROW('03.Muestra'!$F$8:$F$42)-MIN(ROW('03.Muestra'!$D$8:$D$42))+1,""),ROW()-1652)),"")</f>
        <v>https://www.comunidad.madrid/hospital/atencionprimaria/comunicación</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Nosotros</v>
      </c>
      <c r="C1657" s="85" t="str" cm="1">
        <f t="array" ref="C1657">IFERROR(INDEX('03.Muestra'!$F$8:$F$42,SMALL(IF("Página Web"='03.Muestra'!$D$8:$D$42,ROW('03.Muestra'!$F$8:$F$42)-MIN(ROW('03.Muestra'!$D$8:$D$42))+1,""),ROW()-1652)),"")</f>
        <v>https://www.comunidad.madrid/hospital/atencionprimaria/nosotros</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Videoteca</v>
      </c>
      <c r="C1658" s="85" t="str" cm="1">
        <f t="array" ref="C1658">IFERROR(INDEX('03.Muestra'!$F$8:$F$42,SMALL(IF("Página Web"='03.Muestra'!$D$8:$D$42,ROW('03.Muestra'!$F$8:$F$42)-MIN(ROW('03.Muestra'!$D$8:$D$42))+1,""),ROW()-1652)),"")</f>
        <v>https://www.comunidad.madrid/hospital/atencionprimaria/videoteca</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Accesibilidad</v>
      </c>
      <c r="C1659" s="85" t="str" cm="1">
        <f t="array" ref="C1659">IFERROR(INDEX('03.Muestra'!$F$8:$F$42,SMALL(IF("Página Web"='03.Muestra'!$D$8:$D$42,ROW('03.Muestra'!$F$8:$F$42)-MIN(ROW('03.Muestra'!$D$8:$D$42))+1,""),ROW()-1652)),"")</f>
        <v>https://www.comunidad.madrid/hospital/atencionprimaria/declaracion-accesibilidad</v>
      </c>
      <c r="D1659" s="99" t="s">
        <v>92</v>
      </c>
      <c r="E1659" s="79" t="str">
        <f t="shared" si="86"/>
        <v/>
      </c>
      <c r="F1659" s="18"/>
      <c r="G1659" s="18"/>
      <c r="H1659" s="18"/>
      <c r="I1659" s="18"/>
      <c r="J1659" s="18"/>
      <c r="K1659" s="184"/>
    </row>
    <row r="1660" spans="1:11" ht="12" customHeight="1">
      <c r="A1660" s="39" cm="1">
        <f t="array" ref="A1660">IFERROR(INDEX('03.Muestra'!$B$8:$B$42,SMALL(IF("Página Web"='03.Muestra'!$D$8:$D$42,ROW('03.Muestra'!$B$8:$B$42)-MIN(ROW('03.Muestra'!$D$8:$D$42))+1,""),ROW()-1652)),"")</f>
        <v>8</v>
      </c>
      <c r="B1660" s="85" t="str" cm="1">
        <f t="array" ref="B1660">IFERROR(INDEX('03.Muestra'!$C$8:$C$42,SMALL(IF("Página Web"='03.Muestra'!$D$8:$D$42,ROW('03.Muestra'!$C$8:$C$42)-MIN(ROW('03.Muestra'!$D$8:$D$42))+1,""),ROW()-1652)),"")</f>
        <v>Aviso Legal - Privacidad</v>
      </c>
      <c r="C1660" s="85" t="str" cm="1">
        <f t="array" ref="C1660">IFERROR(INDEX('03.Muestra'!$F$8:$F$42,SMALL(IF("Página Web"='03.Muestra'!$D$8:$D$42,ROW('03.Muestra'!$F$8:$F$42)-MIN(ROW('03.Muestra'!$D$8:$D$42))+1,""),ROW()-1652)),"")</f>
        <v>https://www.comunidad.madrid/hospital/atencionprimaria/aviso-legal-privacidad</v>
      </c>
      <c r="D1660" s="99" t="s">
        <v>92</v>
      </c>
      <c r="E1660" s="79" t="str">
        <f t="shared" si="86"/>
        <v/>
      </c>
      <c r="F1660" s="18"/>
      <c r="G1660" s="18"/>
      <c r="H1660" s="18"/>
      <c r="I1660" s="18"/>
      <c r="J1660" s="18"/>
      <c r="K1660" s="184"/>
    </row>
    <row r="1661" spans="1:11" ht="12" customHeight="1">
      <c r="A1661" s="39" cm="1">
        <f t="array" ref="A1661">IFERROR(INDEX('03.Muestra'!$B$8:$B$42,SMALL(IF("Página Web"='03.Muestra'!$D$8:$D$42,ROW('03.Muestra'!$B$8:$B$42)-MIN(ROW('03.Muestra'!$D$8:$D$42))+1,""),ROW()-1652)),"")</f>
        <v>9</v>
      </c>
      <c r="B1661" s="85" t="str" cm="1">
        <f t="array" ref="B1661">IFERROR(INDEX('03.Muestra'!$C$8:$C$42,SMALL(IF("Página Web"='03.Muestra'!$D$8:$D$42,ROW('03.Muestra'!$C$8:$C$42)-MIN(ROW('03.Muestra'!$D$8:$D$42))+1,""),ROW()-1652)),"")</f>
        <v>Mapa Web</v>
      </c>
      <c r="C1661" s="85" t="str" cm="1">
        <f t="array" ref="C1661">IFERROR(INDEX('03.Muestra'!$F$8:$F$42,SMALL(IF("Página Web"='03.Muestra'!$D$8:$D$42,ROW('03.Muestra'!$F$8:$F$42)-MIN(ROW('03.Muestra'!$D$8:$D$42))+1,""),ROW()-1652)),"")</f>
        <v>https://www.comunidad.madrid/hospital/atencionprimaria/sitemap</v>
      </c>
      <c r="D1661" s="99" t="s">
        <v>92</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ref="D1662:D1687" si="87">IF(AND(B1662&lt;&gt;"",C1662&lt;&gt;""),"N/T","")</f>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https://www.comunidad.madrid/hospital/atencionprimaria/home</v>
      </c>
      <c r="D1691" s="99" t="s">
        <v>104</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Ciudadanos</v>
      </c>
      <c r="C1692" s="85" t="str" cm="1">
        <f t="array" ref="C1692">IFERROR(INDEX('03.Muestra'!$F$8:$F$42,SMALL(IF("Página Web"='03.Muestra'!$D$8:$D$42,ROW('03.Muestra'!$F$8:$F$42)-MIN(ROW('03.Muestra'!$D$8:$D$42))+1,""),ROW()-1690)),"")</f>
        <v>https://www.comunidad.madrid/hospital/atencionprimaria/ciudadanos</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9</v>
      </c>
      <c r="I1692" s="91">
        <f ca="1">COUNTIF($D1691:INDIRECT("$D" &amp;  SUM(ROW()-1,'03.Muestra'!$D$45)-1),I1691)</f>
        <v>0</v>
      </c>
      <c r="J1692" s="91">
        <f ca="1">COUNTIF($D1691:INDIRECT("$D" &amp;  SUM(ROW()-1,'03.Muestra'!$D$45)-1),J1691)</f>
        <v>0</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Profesionales</v>
      </c>
      <c r="C1693" s="85" t="str" cm="1">
        <f t="array" ref="C1693">IFERROR(INDEX('03.Muestra'!$F$8:$F$42,SMALL(IF("Página Web"='03.Muestra'!$D$8:$D$42,ROW('03.Muestra'!$F$8:$F$42)-MIN(ROW('03.Muestra'!$D$8:$D$42))+1,""),ROW()-1690)),"")</f>
        <v>https://www.comunidad.madrid/hospital/atencionprimaria/profesionales</v>
      </c>
      <c r="D1693" s="99" t="s">
        <v>104</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Comunicación</v>
      </c>
      <c r="C1694" s="85" t="str" cm="1">
        <f t="array" ref="C1694">IFERROR(INDEX('03.Muestra'!$F$8:$F$42,SMALL(IF("Página Web"='03.Muestra'!$D$8:$D$42,ROW('03.Muestra'!$F$8:$F$42)-MIN(ROW('03.Muestra'!$D$8:$D$42))+1,""),ROW()-1690)),"")</f>
        <v>https://www.comunidad.madrid/hospital/atencionprimaria/comunicación</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Nosotros</v>
      </c>
      <c r="C1695" s="85" t="str" cm="1">
        <f t="array" ref="C1695">IFERROR(INDEX('03.Muestra'!$F$8:$F$42,SMALL(IF("Página Web"='03.Muestra'!$D$8:$D$42,ROW('03.Muestra'!$F$8:$F$42)-MIN(ROW('03.Muestra'!$D$8:$D$42))+1,""),ROW()-1690)),"")</f>
        <v>https://www.comunidad.madrid/hospital/atencionprimaria/nosotros</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Videoteca</v>
      </c>
      <c r="C1696" s="85" t="str" cm="1">
        <f t="array" ref="C1696">IFERROR(INDEX('03.Muestra'!$F$8:$F$42,SMALL(IF("Página Web"='03.Muestra'!$D$8:$D$42,ROW('03.Muestra'!$F$8:$F$42)-MIN(ROW('03.Muestra'!$D$8:$D$42))+1,""),ROW()-1690)),"")</f>
        <v>https://www.comunidad.madrid/hospital/atencionprimaria/videoteca</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Accesibilidad</v>
      </c>
      <c r="C1697" s="85" t="str" cm="1">
        <f t="array" ref="C1697">IFERROR(INDEX('03.Muestra'!$F$8:$F$42,SMALL(IF("Página Web"='03.Muestra'!$D$8:$D$42,ROW('03.Muestra'!$F$8:$F$42)-MIN(ROW('03.Muestra'!$D$8:$D$42))+1,""),ROW()-1690)),"")</f>
        <v>https://www.comunidad.madrid/hospital/atencionprimaria/declaracion-accesibilidad</v>
      </c>
      <c r="D1697" s="99" t="s">
        <v>104</v>
      </c>
      <c r="E1697" s="79" t="str">
        <f t="shared" si="88"/>
        <v/>
      </c>
      <c r="F1697" s="18"/>
      <c r="G1697" s="18"/>
      <c r="H1697" s="18"/>
      <c r="I1697" s="18"/>
      <c r="J1697" s="18"/>
      <c r="K1697" s="184"/>
    </row>
    <row r="1698" spans="1:11" ht="12" customHeight="1">
      <c r="A1698" s="39" cm="1">
        <f t="array" ref="A1698">IFERROR(INDEX('03.Muestra'!$B$8:$B$42,SMALL(IF("Página Web"='03.Muestra'!$D$8:$D$42,ROW('03.Muestra'!$B$8:$B$42)-MIN(ROW('03.Muestra'!$D$8:$D$42))+1,""),ROW()-1690)),"")</f>
        <v>8</v>
      </c>
      <c r="B1698" s="85" t="str" cm="1">
        <f t="array" ref="B1698">IFERROR(INDEX('03.Muestra'!$C$8:$C$42,SMALL(IF("Página Web"='03.Muestra'!$D$8:$D$42,ROW('03.Muestra'!$C$8:$C$42)-MIN(ROW('03.Muestra'!$D$8:$D$42))+1,""),ROW()-1690)),"")</f>
        <v>Aviso Legal - Privacidad</v>
      </c>
      <c r="C1698" s="85" t="str" cm="1">
        <f t="array" ref="C1698">IFERROR(INDEX('03.Muestra'!$F$8:$F$42,SMALL(IF("Página Web"='03.Muestra'!$D$8:$D$42,ROW('03.Muestra'!$F$8:$F$42)-MIN(ROW('03.Muestra'!$D$8:$D$42))+1,""),ROW()-1690)),"")</f>
        <v>https://www.comunidad.madrid/hospital/atencionprimaria/aviso-legal-privacidad</v>
      </c>
      <c r="D1698" s="99" t="s">
        <v>104</v>
      </c>
      <c r="E1698" s="79" t="str">
        <f t="shared" si="88"/>
        <v/>
      </c>
      <c r="F1698" s="18"/>
      <c r="G1698" s="18"/>
      <c r="H1698" s="18"/>
      <c r="I1698" s="18"/>
      <c r="J1698" s="18"/>
      <c r="K1698" s="184"/>
    </row>
    <row r="1699" spans="1:11" ht="12" customHeight="1">
      <c r="A1699" s="39" cm="1">
        <f t="array" ref="A1699">IFERROR(INDEX('03.Muestra'!$B$8:$B$42,SMALL(IF("Página Web"='03.Muestra'!$D$8:$D$42,ROW('03.Muestra'!$B$8:$B$42)-MIN(ROW('03.Muestra'!$D$8:$D$42))+1,""),ROW()-1690)),"")</f>
        <v>9</v>
      </c>
      <c r="B1699" s="85" t="str" cm="1">
        <f t="array" ref="B1699">IFERROR(INDEX('03.Muestra'!$C$8:$C$42,SMALL(IF("Página Web"='03.Muestra'!$D$8:$D$42,ROW('03.Muestra'!$C$8:$C$42)-MIN(ROW('03.Muestra'!$D$8:$D$42))+1,""),ROW()-1690)),"")</f>
        <v>Mapa Web</v>
      </c>
      <c r="C1699" s="85" t="str" cm="1">
        <f t="array" ref="C1699">IFERROR(INDEX('03.Muestra'!$F$8:$F$42,SMALL(IF("Página Web"='03.Muestra'!$D$8:$D$42,ROW('03.Muestra'!$F$8:$F$42)-MIN(ROW('03.Muestra'!$D$8:$D$42))+1,""),ROW()-1690)),"")</f>
        <v>https://www.comunidad.madrid/hospital/atencionprimaria/sitemap</v>
      </c>
      <c r="D1699" s="99" t="s">
        <v>104</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ref="D1700:D1725" si="89">IF(AND(B1700&lt;&gt;"",C1700&lt;&gt;""),"N/T","")</f>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https://www.comunidad.madrid/hospital/atencionprimaria/home</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Ciudadanos</v>
      </c>
      <c r="C1730" s="85" t="str" cm="1">
        <f t="array" ref="C1730">IFERROR(INDEX('03.Muestra'!$F$8:$F$42,SMALL(IF("Página Web"='03.Muestra'!$D$8:$D$42,ROW('03.Muestra'!$F$8:$F$42)-MIN(ROW('03.Muestra'!$D$8:$D$42))+1,""),ROW()-1728)),"")</f>
        <v>https://www.comunidad.madrid/hospital/atencionprimaria/ciudadanos</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9</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Profesionales</v>
      </c>
      <c r="C1731" s="85" t="str" cm="1">
        <f t="array" ref="C1731">IFERROR(INDEX('03.Muestra'!$F$8:$F$42,SMALL(IF("Página Web"='03.Muestra'!$D$8:$D$42,ROW('03.Muestra'!$F$8:$F$42)-MIN(ROW('03.Muestra'!$D$8:$D$42))+1,""),ROW()-1728)),"")</f>
        <v>https://www.comunidad.madrid/hospital/atencionprimaria/profesionales</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Comunicación</v>
      </c>
      <c r="C1732" s="85" t="str" cm="1">
        <f t="array" ref="C1732">IFERROR(INDEX('03.Muestra'!$F$8:$F$42,SMALL(IF("Página Web"='03.Muestra'!$D$8:$D$42,ROW('03.Muestra'!$F$8:$F$42)-MIN(ROW('03.Muestra'!$D$8:$D$42))+1,""),ROW()-1728)),"")</f>
        <v>https://www.comunidad.madrid/hospital/atencionprimaria/comunicación</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Nosotros</v>
      </c>
      <c r="C1733" s="85" t="str" cm="1">
        <f t="array" ref="C1733">IFERROR(INDEX('03.Muestra'!$F$8:$F$42,SMALL(IF("Página Web"='03.Muestra'!$D$8:$D$42,ROW('03.Muestra'!$F$8:$F$42)-MIN(ROW('03.Muestra'!$D$8:$D$42))+1,""),ROW()-1728)),"")</f>
        <v>https://www.comunidad.madrid/hospital/atencionprimaria/nosotros</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Videoteca</v>
      </c>
      <c r="C1734" s="85" t="str" cm="1">
        <f t="array" ref="C1734">IFERROR(INDEX('03.Muestra'!$F$8:$F$42,SMALL(IF("Página Web"='03.Muestra'!$D$8:$D$42,ROW('03.Muestra'!$F$8:$F$42)-MIN(ROW('03.Muestra'!$D$8:$D$42))+1,""),ROW()-1728)),"")</f>
        <v>https://www.comunidad.madrid/hospital/atencionprimaria/videoteca</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Accesibilidad</v>
      </c>
      <c r="C1735" s="85" t="str" cm="1">
        <f t="array" ref="C1735">IFERROR(INDEX('03.Muestra'!$F$8:$F$42,SMALL(IF("Página Web"='03.Muestra'!$D$8:$D$42,ROW('03.Muestra'!$F$8:$F$42)-MIN(ROW('03.Muestra'!$D$8:$D$42))+1,""),ROW()-1728)),"")</f>
        <v>https://www.comunidad.madrid/hospital/atencionprimaria/declaracion-accesibilidad</v>
      </c>
      <c r="D1735" s="99" t="s">
        <v>104</v>
      </c>
      <c r="E1735" s="79" t="str">
        <f t="shared" si="90"/>
        <v/>
      </c>
      <c r="F1735" s="18"/>
      <c r="G1735" s="18"/>
      <c r="H1735" s="18"/>
      <c r="I1735" s="18"/>
      <c r="J1735" s="18"/>
      <c r="K1735" s="184"/>
    </row>
    <row r="1736" spans="1:11" ht="12" customHeight="1">
      <c r="A1736" s="39" cm="1">
        <f t="array" ref="A1736">IFERROR(INDEX('03.Muestra'!$B$8:$B$42,SMALL(IF("Página Web"='03.Muestra'!$D$8:$D$42,ROW('03.Muestra'!$B$8:$B$42)-MIN(ROW('03.Muestra'!$D$8:$D$42))+1,""),ROW()-1728)),"")</f>
        <v>8</v>
      </c>
      <c r="B1736" s="85" t="str" cm="1">
        <f t="array" ref="B1736">IFERROR(INDEX('03.Muestra'!$C$8:$C$42,SMALL(IF("Página Web"='03.Muestra'!$D$8:$D$42,ROW('03.Muestra'!$C$8:$C$42)-MIN(ROW('03.Muestra'!$D$8:$D$42))+1,""),ROW()-1728)),"")</f>
        <v>Aviso Legal - Privacidad</v>
      </c>
      <c r="C1736" s="85" t="str" cm="1">
        <f t="array" ref="C1736">IFERROR(INDEX('03.Muestra'!$F$8:$F$42,SMALL(IF("Página Web"='03.Muestra'!$D$8:$D$42,ROW('03.Muestra'!$F$8:$F$42)-MIN(ROW('03.Muestra'!$D$8:$D$42))+1,""),ROW()-1728)),"")</f>
        <v>https://www.comunidad.madrid/hospital/atencionprimaria/aviso-legal-privacidad</v>
      </c>
      <c r="D1736" s="99" t="s">
        <v>104</v>
      </c>
      <c r="E1736" s="79" t="str">
        <f t="shared" si="90"/>
        <v/>
      </c>
      <c r="F1736" s="18"/>
      <c r="G1736" s="18"/>
      <c r="H1736" s="18"/>
      <c r="I1736" s="18"/>
      <c r="J1736" s="18"/>
      <c r="K1736" s="184"/>
    </row>
    <row r="1737" spans="1:11" ht="12" customHeight="1">
      <c r="A1737" s="39" cm="1">
        <f t="array" ref="A1737">IFERROR(INDEX('03.Muestra'!$B$8:$B$42,SMALL(IF("Página Web"='03.Muestra'!$D$8:$D$42,ROW('03.Muestra'!$B$8:$B$42)-MIN(ROW('03.Muestra'!$D$8:$D$42))+1,""),ROW()-1728)),"")</f>
        <v>9</v>
      </c>
      <c r="B1737" s="85" t="str" cm="1">
        <f t="array" ref="B1737">IFERROR(INDEX('03.Muestra'!$C$8:$C$42,SMALL(IF("Página Web"='03.Muestra'!$D$8:$D$42,ROW('03.Muestra'!$C$8:$C$42)-MIN(ROW('03.Muestra'!$D$8:$D$42))+1,""),ROW()-1728)),"")</f>
        <v>Mapa Web</v>
      </c>
      <c r="C1737" s="85" t="str" cm="1">
        <f t="array" ref="C1737">IFERROR(INDEX('03.Muestra'!$F$8:$F$42,SMALL(IF("Página Web"='03.Muestra'!$D$8:$D$42,ROW('03.Muestra'!$F$8:$F$42)-MIN(ROW('03.Muestra'!$D$8:$D$42))+1,""),ROW()-1728)),"")</f>
        <v>https://www.comunidad.madrid/hospital/atencionprimaria/sitemap</v>
      </c>
      <c r="D1737" s="99" t="s">
        <v>104</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ref="D1738:D1763" si="91">IF(AND(B1738&lt;&gt;"",C1738&lt;&gt;""),"N/T","")</f>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https://www.comunidad.madrid/hospital/atencionprimaria/home</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Ciudadanos</v>
      </c>
      <c r="C1768" s="85" t="str" cm="1">
        <f t="array" ref="C1768">IFERROR(INDEX('03.Muestra'!$F$8:$F$42,SMALL(IF("Página Web"='03.Muestra'!$D$8:$D$42,ROW('03.Muestra'!$F$8:$F$42)-MIN(ROW('03.Muestra'!$D$8:$D$42))+1,""),ROW()-1766)),"")</f>
        <v>https://www.comunidad.madrid/hospital/atencionprimaria/ciudadanos</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9</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Profesionales</v>
      </c>
      <c r="C1769" s="85" t="str" cm="1">
        <f t="array" ref="C1769">IFERROR(INDEX('03.Muestra'!$F$8:$F$42,SMALL(IF("Página Web"='03.Muestra'!$D$8:$D$42,ROW('03.Muestra'!$F$8:$F$42)-MIN(ROW('03.Muestra'!$D$8:$D$42))+1,""),ROW()-1766)),"")</f>
        <v>https://www.comunidad.madrid/hospital/atencionprimaria/profesionales</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Comunicación</v>
      </c>
      <c r="C1770" s="85" t="str" cm="1">
        <f t="array" ref="C1770">IFERROR(INDEX('03.Muestra'!$F$8:$F$42,SMALL(IF("Página Web"='03.Muestra'!$D$8:$D$42,ROW('03.Muestra'!$F$8:$F$42)-MIN(ROW('03.Muestra'!$D$8:$D$42))+1,""),ROW()-1766)),"")</f>
        <v>https://www.comunidad.madrid/hospital/atencionprimaria/comunicación</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Nosotros</v>
      </c>
      <c r="C1771" s="85" t="str" cm="1">
        <f t="array" ref="C1771">IFERROR(INDEX('03.Muestra'!$F$8:$F$42,SMALL(IF("Página Web"='03.Muestra'!$D$8:$D$42,ROW('03.Muestra'!$F$8:$F$42)-MIN(ROW('03.Muestra'!$D$8:$D$42))+1,""),ROW()-1766)),"")</f>
        <v>https://www.comunidad.madrid/hospital/atencionprimaria/nosotros</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Videoteca</v>
      </c>
      <c r="C1772" s="85" t="str" cm="1">
        <f t="array" ref="C1772">IFERROR(INDEX('03.Muestra'!$F$8:$F$42,SMALL(IF("Página Web"='03.Muestra'!$D$8:$D$42,ROW('03.Muestra'!$F$8:$F$42)-MIN(ROW('03.Muestra'!$D$8:$D$42))+1,""),ROW()-1766)),"")</f>
        <v>https://www.comunidad.madrid/hospital/atencionprimaria/videoteca</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Accesibilidad</v>
      </c>
      <c r="C1773" s="85" t="str" cm="1">
        <f t="array" ref="C1773">IFERROR(INDEX('03.Muestra'!$F$8:$F$42,SMALL(IF("Página Web"='03.Muestra'!$D$8:$D$42,ROW('03.Muestra'!$F$8:$F$42)-MIN(ROW('03.Muestra'!$D$8:$D$42))+1,""),ROW()-1766)),"")</f>
        <v>https://www.comunidad.madrid/hospital/atencionprimaria/declaracion-accesibilidad</v>
      </c>
      <c r="D1773" s="99" t="s">
        <v>92</v>
      </c>
      <c r="E1773" s="79" t="str">
        <f t="shared" si="92"/>
        <v/>
      </c>
      <c r="F1773" s="18"/>
      <c r="G1773" s="18"/>
      <c r="H1773" s="18"/>
      <c r="I1773" s="18"/>
      <c r="J1773" s="18"/>
      <c r="K1773" s="184"/>
    </row>
    <row r="1774" spans="1:11" ht="12" customHeight="1">
      <c r="A1774" s="39" cm="1">
        <f t="array" ref="A1774">IFERROR(INDEX('03.Muestra'!$B$8:$B$42,SMALL(IF("Página Web"='03.Muestra'!$D$8:$D$42,ROW('03.Muestra'!$B$8:$B$42)-MIN(ROW('03.Muestra'!$D$8:$D$42))+1,""),ROW()-1766)),"")</f>
        <v>8</v>
      </c>
      <c r="B1774" s="85" t="str" cm="1">
        <f t="array" ref="B1774">IFERROR(INDEX('03.Muestra'!$C$8:$C$42,SMALL(IF("Página Web"='03.Muestra'!$D$8:$D$42,ROW('03.Muestra'!$C$8:$C$42)-MIN(ROW('03.Muestra'!$D$8:$D$42))+1,""),ROW()-1766)),"")</f>
        <v>Aviso Legal - Privacidad</v>
      </c>
      <c r="C1774" s="85" t="str" cm="1">
        <f t="array" ref="C1774">IFERROR(INDEX('03.Muestra'!$F$8:$F$42,SMALL(IF("Página Web"='03.Muestra'!$D$8:$D$42,ROW('03.Muestra'!$F$8:$F$42)-MIN(ROW('03.Muestra'!$D$8:$D$42))+1,""),ROW()-1766)),"")</f>
        <v>https://www.comunidad.madrid/hospital/atencionprimaria/aviso-legal-privacidad</v>
      </c>
      <c r="D1774" s="99" t="s">
        <v>92</v>
      </c>
      <c r="E1774" s="79" t="str">
        <f t="shared" si="92"/>
        <v/>
      </c>
      <c r="F1774" s="18"/>
      <c r="G1774" s="18"/>
      <c r="H1774" s="18"/>
      <c r="I1774" s="18"/>
      <c r="J1774" s="18"/>
      <c r="K1774" s="184"/>
    </row>
    <row r="1775" spans="1:11" ht="12" customHeight="1">
      <c r="A1775" s="39" cm="1">
        <f t="array" ref="A1775">IFERROR(INDEX('03.Muestra'!$B$8:$B$42,SMALL(IF("Página Web"='03.Muestra'!$D$8:$D$42,ROW('03.Muestra'!$B$8:$B$42)-MIN(ROW('03.Muestra'!$D$8:$D$42))+1,""),ROW()-1766)),"")</f>
        <v>9</v>
      </c>
      <c r="B1775" s="85" t="str" cm="1">
        <f t="array" ref="B1775">IFERROR(INDEX('03.Muestra'!$C$8:$C$42,SMALL(IF("Página Web"='03.Muestra'!$D$8:$D$42,ROW('03.Muestra'!$C$8:$C$42)-MIN(ROW('03.Muestra'!$D$8:$D$42))+1,""),ROW()-1766)),"")</f>
        <v>Mapa Web</v>
      </c>
      <c r="C1775" s="85" t="str" cm="1">
        <f t="array" ref="C1775">IFERROR(INDEX('03.Muestra'!$F$8:$F$42,SMALL(IF("Página Web"='03.Muestra'!$D$8:$D$42,ROW('03.Muestra'!$F$8:$F$42)-MIN(ROW('03.Muestra'!$D$8:$D$42))+1,""),ROW()-1766)),"")</f>
        <v>https://www.comunidad.madrid/hospital/atencionprimaria/sitemap</v>
      </c>
      <c r="D1775" s="99" t="s">
        <v>92</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ref="D1776:D1801" si="93">IF(AND(B1776&lt;&gt;"",C1776&lt;&gt;""),"N/T","")</f>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https://www.comunidad.madrid/hospital/atencionprimaria/home</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Ciudadanos</v>
      </c>
      <c r="C1806" s="85" t="str" cm="1">
        <f t="array" ref="C1806">IFERROR(INDEX('03.Muestra'!$F$8:$F$42,SMALL(IF("Página Web"='03.Muestra'!$D$8:$D$42,ROW('03.Muestra'!$F$8:$F$42)-MIN(ROW('03.Muestra'!$D$8:$D$42))+1,""),ROW()-1804)),"")</f>
        <v>https://www.comunidad.madrid/hospital/atencionprimaria/ciudadanos</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9</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Profesionales</v>
      </c>
      <c r="C1807" s="85" t="str" cm="1">
        <f t="array" ref="C1807">IFERROR(INDEX('03.Muestra'!$F$8:$F$42,SMALL(IF("Página Web"='03.Muestra'!$D$8:$D$42,ROW('03.Muestra'!$F$8:$F$42)-MIN(ROW('03.Muestra'!$D$8:$D$42))+1,""),ROW()-1804)),"")</f>
        <v>https://www.comunidad.madrid/hospital/atencionprimaria/profesionales</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Comunicación</v>
      </c>
      <c r="C1808" s="85" t="str" cm="1">
        <f t="array" ref="C1808">IFERROR(INDEX('03.Muestra'!$F$8:$F$42,SMALL(IF("Página Web"='03.Muestra'!$D$8:$D$42,ROW('03.Muestra'!$F$8:$F$42)-MIN(ROW('03.Muestra'!$D$8:$D$42))+1,""),ROW()-1804)),"")</f>
        <v>https://www.comunidad.madrid/hospital/atencionprimaria/comunicación</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Nosotros</v>
      </c>
      <c r="C1809" s="85" t="str" cm="1">
        <f t="array" ref="C1809">IFERROR(INDEX('03.Muestra'!$F$8:$F$42,SMALL(IF("Página Web"='03.Muestra'!$D$8:$D$42,ROW('03.Muestra'!$F$8:$F$42)-MIN(ROW('03.Muestra'!$D$8:$D$42))+1,""),ROW()-1804)),"")</f>
        <v>https://www.comunidad.madrid/hospital/atencionprimaria/nosotros</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Videoteca</v>
      </c>
      <c r="C1810" s="85" t="str" cm="1">
        <f t="array" ref="C1810">IFERROR(INDEX('03.Muestra'!$F$8:$F$42,SMALL(IF("Página Web"='03.Muestra'!$D$8:$D$42,ROW('03.Muestra'!$F$8:$F$42)-MIN(ROW('03.Muestra'!$D$8:$D$42))+1,""),ROW()-1804)),"")</f>
        <v>https://www.comunidad.madrid/hospital/atencionprimaria/videoteca</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Accesibilidad</v>
      </c>
      <c r="C1811" s="85" t="str" cm="1">
        <f t="array" ref="C1811">IFERROR(INDEX('03.Muestra'!$F$8:$F$42,SMALL(IF("Página Web"='03.Muestra'!$D$8:$D$42,ROW('03.Muestra'!$F$8:$F$42)-MIN(ROW('03.Muestra'!$D$8:$D$42))+1,""),ROW()-1804)),"")</f>
        <v>https://www.comunidad.madrid/hospital/atencionprimaria/declaracion-accesibilidad</v>
      </c>
      <c r="D1811" s="99" t="s">
        <v>92</v>
      </c>
      <c r="E1811" s="79" t="str">
        <f t="shared" si="94"/>
        <v/>
      </c>
      <c r="F1811" s="18"/>
      <c r="G1811" s="18"/>
      <c r="H1811" s="18"/>
      <c r="I1811" s="18"/>
      <c r="J1811" s="18"/>
      <c r="K1811" s="184"/>
    </row>
    <row r="1812" spans="1:11" ht="12" customHeight="1">
      <c r="A1812" s="39" cm="1">
        <f t="array" ref="A1812">IFERROR(INDEX('03.Muestra'!$B$8:$B$42,SMALL(IF("Página Web"='03.Muestra'!$D$8:$D$42,ROW('03.Muestra'!$B$8:$B$42)-MIN(ROW('03.Muestra'!$D$8:$D$42))+1,""),ROW()-1804)),"")</f>
        <v>8</v>
      </c>
      <c r="B1812" s="85" t="str" cm="1">
        <f t="array" ref="B1812">IFERROR(INDEX('03.Muestra'!$C$8:$C$42,SMALL(IF("Página Web"='03.Muestra'!$D$8:$D$42,ROW('03.Muestra'!$C$8:$C$42)-MIN(ROW('03.Muestra'!$D$8:$D$42))+1,""),ROW()-1804)),"")</f>
        <v>Aviso Legal - Privacidad</v>
      </c>
      <c r="C1812" s="85" t="str" cm="1">
        <f t="array" ref="C1812">IFERROR(INDEX('03.Muestra'!$F$8:$F$42,SMALL(IF("Página Web"='03.Muestra'!$D$8:$D$42,ROW('03.Muestra'!$F$8:$F$42)-MIN(ROW('03.Muestra'!$D$8:$D$42))+1,""),ROW()-1804)),"")</f>
        <v>https://www.comunidad.madrid/hospital/atencionprimaria/aviso-legal-privacidad</v>
      </c>
      <c r="D1812" s="99" t="s">
        <v>92</v>
      </c>
      <c r="E1812" s="79" t="str">
        <f t="shared" si="94"/>
        <v/>
      </c>
      <c r="F1812" s="18"/>
      <c r="G1812" s="18"/>
      <c r="H1812" s="18"/>
      <c r="I1812" s="18"/>
      <c r="J1812" s="18"/>
      <c r="K1812" s="184"/>
    </row>
    <row r="1813" spans="1:11" ht="12" customHeight="1">
      <c r="A1813" s="39" cm="1">
        <f t="array" ref="A1813">IFERROR(INDEX('03.Muestra'!$B$8:$B$42,SMALL(IF("Página Web"='03.Muestra'!$D$8:$D$42,ROW('03.Muestra'!$B$8:$B$42)-MIN(ROW('03.Muestra'!$D$8:$D$42))+1,""),ROW()-1804)),"")</f>
        <v>9</v>
      </c>
      <c r="B1813" s="85" t="str" cm="1">
        <f t="array" ref="B1813">IFERROR(INDEX('03.Muestra'!$C$8:$C$42,SMALL(IF("Página Web"='03.Muestra'!$D$8:$D$42,ROW('03.Muestra'!$C$8:$C$42)-MIN(ROW('03.Muestra'!$D$8:$D$42))+1,""),ROW()-1804)),"")</f>
        <v>Mapa Web</v>
      </c>
      <c r="C1813" s="85" t="str" cm="1">
        <f t="array" ref="C1813">IFERROR(INDEX('03.Muestra'!$F$8:$F$42,SMALL(IF("Página Web"='03.Muestra'!$D$8:$D$42,ROW('03.Muestra'!$F$8:$F$42)-MIN(ROW('03.Muestra'!$D$8:$D$42))+1,""),ROW()-1804)),"")</f>
        <v>https://www.comunidad.madrid/hospital/atencionprimaria/sitemap</v>
      </c>
      <c r="D1813" s="99" t="s">
        <v>92</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ref="D1814:D1839" si="95">IF(AND(B1814&lt;&gt;"",C1814&lt;&gt;""),"N/T","")</f>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https://www.comunidad.madrid/hospital/atencionprimaria/home</v>
      </c>
      <c r="D1843" s="99" t="s">
        <v>92</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Ciudadanos</v>
      </c>
      <c r="C1844" s="85" t="str" cm="1">
        <f t="array" ref="C1844">IFERROR(INDEX('03.Muestra'!$F$8:$F$42,SMALL(IF("Página Web"='03.Muestra'!$D$8:$D$42,ROW('03.Muestra'!$F$8:$F$42)-MIN(ROW('03.Muestra'!$D$8:$D$42))+1,""),ROW()-1842)),"")</f>
        <v>https://www.comunidad.madrid/hospital/atencionprimaria/ciudadanos</v>
      </c>
      <c r="D1844" s="99" t="s">
        <v>92</v>
      </c>
      <c r="E1844" s="79" t="str">
        <f t="shared" si="96"/>
        <v/>
      </c>
      <c r="F1844" s="91">
        <f ca="1">COUNTIF($D1843:INDIRECT("$D" &amp;  SUM(ROW()-1,'03.Muestra'!$D$45)-1),F1843)</f>
        <v>0</v>
      </c>
      <c r="G1844" s="91">
        <f ca="1">COUNTIF($D1843:INDIRECT("$D" &amp;  SUM(ROW()-1,'03.Muestra'!$D$45)-1),G1843)</f>
        <v>0</v>
      </c>
      <c r="H1844" s="91">
        <f ca="1">COUNTIF($D1843:INDIRECT("$D" &amp;  SUM(ROW()-1,'03.Muestra'!$D$45)-1),H1843)</f>
        <v>0</v>
      </c>
      <c r="I1844" s="91">
        <f ca="1">COUNTIF($D1843:INDIRECT("$D" &amp;  SUM(ROW()-1,'03.Muestra'!$D$45)-1),I1843)</f>
        <v>0</v>
      </c>
      <c r="J1844" s="91">
        <f ca="1">COUNTIF($D1843:INDIRECT("$D" &amp;  SUM(ROW()-1,'03.Muestra'!$D$45)-1),J1843)</f>
        <v>9</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Profesionales</v>
      </c>
      <c r="C1845" s="85" t="str" cm="1">
        <f t="array" ref="C1845">IFERROR(INDEX('03.Muestra'!$F$8:$F$42,SMALL(IF("Página Web"='03.Muestra'!$D$8:$D$42,ROW('03.Muestra'!$F$8:$F$42)-MIN(ROW('03.Muestra'!$D$8:$D$42))+1,""),ROW()-1842)),"")</f>
        <v>https://www.comunidad.madrid/hospital/atencionprimaria/profesionales</v>
      </c>
      <c r="D1845" s="99" t="s">
        <v>92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Comunicación</v>
      </c>
      <c r="C1846" s="85" t="str" cm="1">
        <f t="array" ref="C1846">IFERROR(INDEX('03.Muestra'!$F$8:$F$42,SMALL(IF("Página Web"='03.Muestra'!$D$8:$D$42,ROW('03.Muestra'!$F$8:$F$42)-MIN(ROW('03.Muestra'!$D$8:$D$42))+1,""),ROW()-1842)),"")</f>
        <v>https://www.comunidad.madrid/hospital/atencionprimaria/comunicación</v>
      </c>
      <c r="D1846" s="99" t="s">
        <v>92</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Nosotros</v>
      </c>
      <c r="C1847" s="85" t="str" cm="1">
        <f t="array" ref="C1847">IFERROR(INDEX('03.Muestra'!$F$8:$F$42,SMALL(IF("Página Web"='03.Muestra'!$D$8:$D$42,ROW('03.Muestra'!$F$8:$F$42)-MIN(ROW('03.Muestra'!$D$8:$D$42))+1,""),ROW()-1842)),"")</f>
        <v>https://www.comunidad.madrid/hospital/atencionprimaria/nosotros</v>
      </c>
      <c r="D1847" s="99" t="s">
        <v>92</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Videoteca</v>
      </c>
      <c r="C1848" s="85" t="str" cm="1">
        <f t="array" ref="C1848">IFERROR(INDEX('03.Muestra'!$F$8:$F$42,SMALL(IF("Página Web"='03.Muestra'!$D$8:$D$42,ROW('03.Muestra'!$F$8:$F$42)-MIN(ROW('03.Muestra'!$D$8:$D$42))+1,""),ROW()-1842)),"")</f>
        <v>https://www.comunidad.madrid/hospital/atencionprimaria/videoteca</v>
      </c>
      <c r="D1848" s="99" t="s">
        <v>92</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Accesibilidad</v>
      </c>
      <c r="C1849" s="85" t="str" cm="1">
        <f t="array" ref="C1849">IFERROR(INDEX('03.Muestra'!$F$8:$F$42,SMALL(IF("Página Web"='03.Muestra'!$D$8:$D$42,ROW('03.Muestra'!$F$8:$F$42)-MIN(ROW('03.Muestra'!$D$8:$D$42))+1,""),ROW()-1842)),"")</f>
        <v>https://www.comunidad.madrid/hospital/atencionprimaria/declaracion-accesibilidad</v>
      </c>
      <c r="D1849" s="99" t="s">
        <v>92</v>
      </c>
      <c r="E1849" s="79" t="str">
        <f t="shared" si="96"/>
        <v/>
      </c>
      <c r="F1849" s="18"/>
      <c r="G1849" s="18"/>
      <c r="H1849" s="18"/>
      <c r="I1849" s="18"/>
      <c r="J1849" s="18"/>
      <c r="K1849" s="184"/>
    </row>
    <row r="1850" spans="1:11" ht="12" customHeight="1">
      <c r="A1850" s="39" cm="1">
        <f t="array" ref="A1850">IFERROR(INDEX('03.Muestra'!$B$8:$B$42,SMALL(IF("Página Web"='03.Muestra'!$D$8:$D$42,ROW('03.Muestra'!$B$8:$B$42)-MIN(ROW('03.Muestra'!$D$8:$D$42))+1,""),ROW()-1842)),"")</f>
        <v>8</v>
      </c>
      <c r="B1850" s="85" t="str" cm="1">
        <f t="array" ref="B1850">IFERROR(INDEX('03.Muestra'!$C$8:$C$42,SMALL(IF("Página Web"='03.Muestra'!$D$8:$D$42,ROW('03.Muestra'!$C$8:$C$42)-MIN(ROW('03.Muestra'!$D$8:$D$42))+1,""),ROW()-1842)),"")</f>
        <v>Aviso Legal - Privacidad</v>
      </c>
      <c r="C1850" s="85" t="str" cm="1">
        <f t="array" ref="C1850">IFERROR(INDEX('03.Muestra'!$F$8:$F$42,SMALL(IF("Página Web"='03.Muestra'!$D$8:$D$42,ROW('03.Muestra'!$F$8:$F$42)-MIN(ROW('03.Muestra'!$D$8:$D$42))+1,""),ROW()-1842)),"")</f>
        <v>https://www.comunidad.madrid/hospital/atencionprimaria/aviso-legal-privacidad</v>
      </c>
      <c r="D1850" s="99" t="s">
        <v>92</v>
      </c>
      <c r="E1850" s="79" t="str">
        <f t="shared" si="96"/>
        <v/>
      </c>
      <c r="F1850" s="18"/>
      <c r="G1850" s="18"/>
      <c r="H1850" s="18"/>
      <c r="I1850" s="18"/>
      <c r="J1850" s="18"/>
      <c r="K1850" s="184"/>
    </row>
    <row r="1851" spans="1:11" ht="12" customHeight="1">
      <c r="A1851" s="39" cm="1">
        <f t="array" ref="A1851">IFERROR(INDEX('03.Muestra'!$B$8:$B$42,SMALL(IF("Página Web"='03.Muestra'!$D$8:$D$42,ROW('03.Muestra'!$B$8:$B$42)-MIN(ROW('03.Muestra'!$D$8:$D$42))+1,""),ROW()-1842)),"")</f>
        <v>9</v>
      </c>
      <c r="B1851" s="85" t="str" cm="1">
        <f t="array" ref="B1851">IFERROR(INDEX('03.Muestra'!$C$8:$C$42,SMALL(IF("Página Web"='03.Muestra'!$D$8:$D$42,ROW('03.Muestra'!$C$8:$C$42)-MIN(ROW('03.Muestra'!$D$8:$D$42))+1,""),ROW()-1842)),"")</f>
        <v>Mapa Web</v>
      </c>
      <c r="C1851" s="85" t="str" cm="1">
        <f t="array" ref="C1851">IFERROR(INDEX('03.Muestra'!$F$8:$F$42,SMALL(IF("Página Web"='03.Muestra'!$D$8:$D$42,ROW('03.Muestra'!$F$8:$F$42)-MIN(ROW('03.Muestra'!$D$8:$D$42))+1,""),ROW()-1842)),"")</f>
        <v>https://www.comunidad.madrid/hospital/atencionprimaria/sitemap</v>
      </c>
      <c r="D1851" s="99" t="s">
        <v>92</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ref="D1852:D1877" si="97">IF(AND(B1852&lt;&gt;"",C1852&lt;&gt;""),"N/T","")</f>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https://www.comunidad.madrid/hospital/atencionprimaria/home</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Ciudadanos</v>
      </c>
      <c r="C1882" s="85" t="str" cm="1">
        <f t="array" ref="C1882">IFERROR(INDEX('03.Muestra'!$F$8:$F$42,SMALL(IF("Página Web"='03.Muestra'!$D$8:$D$42,ROW('03.Muestra'!$F$8:$F$42)-MIN(ROW('03.Muestra'!$D$8:$D$42))+1,""),ROW()-1880)),"")</f>
        <v>https://www.comunidad.madrid/hospital/atencionprimaria/ciudadanos</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9</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Profesionales</v>
      </c>
      <c r="C1883" s="85" t="str" cm="1">
        <f t="array" ref="C1883">IFERROR(INDEX('03.Muestra'!$F$8:$F$42,SMALL(IF("Página Web"='03.Muestra'!$D$8:$D$42,ROW('03.Muestra'!$F$8:$F$42)-MIN(ROW('03.Muestra'!$D$8:$D$42))+1,""),ROW()-1880)),"")</f>
        <v>https://www.comunidad.madrid/hospital/atencionprimaria/profesionales</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Comunicación</v>
      </c>
      <c r="C1884" s="85" t="str" cm="1">
        <f t="array" ref="C1884">IFERROR(INDEX('03.Muestra'!$F$8:$F$42,SMALL(IF("Página Web"='03.Muestra'!$D$8:$D$42,ROW('03.Muestra'!$F$8:$F$42)-MIN(ROW('03.Muestra'!$D$8:$D$42))+1,""),ROW()-1880)),"")</f>
        <v>https://www.comunidad.madrid/hospital/atencionprimaria/comunicación</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Nosotros</v>
      </c>
      <c r="C1885" s="85" t="str" cm="1">
        <f t="array" ref="C1885">IFERROR(INDEX('03.Muestra'!$F$8:$F$42,SMALL(IF("Página Web"='03.Muestra'!$D$8:$D$42,ROW('03.Muestra'!$F$8:$F$42)-MIN(ROW('03.Muestra'!$D$8:$D$42))+1,""),ROW()-1880)),"")</f>
        <v>https://www.comunidad.madrid/hospital/atencionprimaria/nosotros</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Videoteca</v>
      </c>
      <c r="C1886" s="85" t="str" cm="1">
        <f t="array" ref="C1886">IFERROR(INDEX('03.Muestra'!$F$8:$F$42,SMALL(IF("Página Web"='03.Muestra'!$D$8:$D$42,ROW('03.Muestra'!$F$8:$F$42)-MIN(ROW('03.Muestra'!$D$8:$D$42))+1,""),ROW()-1880)),"")</f>
        <v>https://www.comunidad.madrid/hospital/atencionprimaria/videoteca</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Accesibilidad</v>
      </c>
      <c r="C1887" s="85" t="str" cm="1">
        <f t="array" ref="C1887">IFERROR(INDEX('03.Muestra'!$F$8:$F$42,SMALL(IF("Página Web"='03.Muestra'!$D$8:$D$42,ROW('03.Muestra'!$F$8:$F$42)-MIN(ROW('03.Muestra'!$D$8:$D$42))+1,""),ROW()-1880)),"")</f>
        <v>https://www.comunidad.madrid/hospital/atencionprimaria/declaracion-accesibilidad</v>
      </c>
      <c r="D1887" s="99" t="s">
        <v>94</v>
      </c>
      <c r="E1887" s="79" t="str">
        <f t="shared" si="98"/>
        <v/>
      </c>
      <c r="F1887" s="18"/>
      <c r="G1887" s="18"/>
      <c r="H1887" s="18"/>
      <c r="I1887" s="18"/>
      <c r="J1887" s="18"/>
      <c r="K1887" s="184"/>
    </row>
    <row r="1888" spans="1:11" ht="12" customHeight="1">
      <c r="A1888" s="39" cm="1">
        <f t="array" ref="A1888">IFERROR(INDEX('03.Muestra'!$B$8:$B$42,SMALL(IF("Página Web"='03.Muestra'!$D$8:$D$42,ROW('03.Muestra'!$B$8:$B$42)-MIN(ROW('03.Muestra'!$D$8:$D$42))+1,""),ROW()-1880)),"")</f>
        <v>8</v>
      </c>
      <c r="B1888" s="85" t="str" cm="1">
        <f t="array" ref="B1888">IFERROR(INDEX('03.Muestra'!$C$8:$C$42,SMALL(IF("Página Web"='03.Muestra'!$D$8:$D$42,ROW('03.Muestra'!$C$8:$C$42)-MIN(ROW('03.Muestra'!$D$8:$D$42))+1,""),ROW()-1880)),"")</f>
        <v>Aviso Legal - Privacidad</v>
      </c>
      <c r="C1888" s="85" t="str" cm="1">
        <f t="array" ref="C1888">IFERROR(INDEX('03.Muestra'!$F$8:$F$42,SMALL(IF("Página Web"='03.Muestra'!$D$8:$D$42,ROW('03.Muestra'!$F$8:$F$42)-MIN(ROW('03.Muestra'!$D$8:$D$42))+1,""),ROW()-1880)),"")</f>
        <v>https://www.comunidad.madrid/hospital/atencionprimaria/aviso-legal-privacidad</v>
      </c>
      <c r="D1888" s="99" t="s">
        <v>94</v>
      </c>
      <c r="E1888" s="79" t="str">
        <f t="shared" si="98"/>
        <v/>
      </c>
      <c r="F1888" s="18"/>
      <c r="G1888" s="18"/>
      <c r="H1888" s="18"/>
      <c r="I1888" s="18"/>
      <c r="J1888" s="18"/>
      <c r="K1888" s="184"/>
    </row>
    <row r="1889" spans="1:11" ht="12" customHeight="1">
      <c r="A1889" s="39" cm="1">
        <f t="array" ref="A1889">IFERROR(INDEX('03.Muestra'!$B$8:$B$42,SMALL(IF("Página Web"='03.Muestra'!$D$8:$D$42,ROW('03.Muestra'!$B$8:$B$42)-MIN(ROW('03.Muestra'!$D$8:$D$42))+1,""),ROW()-1880)),"")</f>
        <v>9</v>
      </c>
      <c r="B1889" s="85" t="str" cm="1">
        <f t="array" ref="B1889">IFERROR(INDEX('03.Muestra'!$C$8:$C$42,SMALL(IF("Página Web"='03.Muestra'!$D$8:$D$42,ROW('03.Muestra'!$C$8:$C$42)-MIN(ROW('03.Muestra'!$D$8:$D$42))+1,""),ROW()-1880)),"")</f>
        <v>Mapa Web</v>
      </c>
      <c r="C1889" s="85" t="str" cm="1">
        <f t="array" ref="C1889">IFERROR(INDEX('03.Muestra'!$F$8:$F$42,SMALL(IF("Página Web"='03.Muestra'!$D$8:$D$42,ROW('03.Muestra'!$F$8:$F$42)-MIN(ROW('03.Muestra'!$D$8:$D$42))+1,""),ROW()-1880)),"")</f>
        <v>https://www.comunidad.madrid/hospital/atencionprimaria/sitemap</v>
      </c>
      <c r="D1889" s="99" t="s">
        <v>94</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ref="D1890:D1915" si="99">IF(AND(B1890&lt;&gt;"",C1890&lt;&gt;""),"N/T","")</f>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3A3EF1E45B372498A5EC7E689FA1D58" ma:contentTypeVersion="14" ma:contentTypeDescription="Create a new document." ma:contentTypeScope="" ma:versionID="1ac04e862173d82c3404e0b08adf31f3">
  <xsd:schema xmlns:xsd="http://www.w3.org/2001/XMLSchema" xmlns:xs="http://www.w3.org/2001/XMLSchema" xmlns:p="http://schemas.microsoft.com/office/2006/metadata/properties" xmlns:ns2="82502778-d9ae-4922-8522-5ddf635351c9" xmlns:ns3="9a860658-2ee9-4fba-9b87-703aa3819891" targetNamespace="http://schemas.microsoft.com/office/2006/metadata/properties" ma:root="true" ma:fieldsID="94c167a21592f14f904d39bcf5e52479" ns2:_="" ns3:_="">
    <xsd:import namespace="82502778-d9ae-4922-8522-5ddf635351c9"/>
    <xsd:import namespace="9a860658-2ee9-4fba-9b87-703aa381989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502778-d9ae-4922-8522-5ddf635351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6a6488a-54df-425c-be80-a6bf39aec34e"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a860658-2ee9-4fba-9b87-703aa38198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5506f3df-554b-4504-b1ef-d43a3fae82ce}" ma:internalName="TaxCatchAll" ma:showField="CatchAllData" ma:web="9a860658-2ee9-4fba-9b87-703aa3819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a860658-2ee9-4fba-9b87-703aa3819891" xsi:nil="true"/>
    <lcf76f155ced4ddcb4097134ff3c332f xmlns="82502778-d9ae-4922-8522-5ddf635351c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2.xml><?xml version="1.0" encoding="utf-8"?>
<ds:datastoreItem xmlns:ds="http://schemas.openxmlformats.org/officeDocument/2006/customXml" ds:itemID="{951C4F53-6AC7-4116-A464-83DD27D90342}"/>
</file>

<file path=customXml/itemProps3.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2024-07-30T10:26:22Z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0x01010033A3EF1E45B372498A5EC7E689FA1D58</vt:lpwstr>
  </property>
  <property fmtid="{D5CDD505-2E9C-101B-9397-08002B2CF9AE}" pid="10" name="MSIP_Label_ecb69475-382c-4c7a-b21d-8ca64eeef1bd_Enabled">
    <vt:lpwstr>true</vt:lpwstr>
  </property>
  <property fmtid="{D5CDD505-2E9C-101B-9397-08002B2CF9AE}" pid="11" name="MSIP_Label_ecb69475-382c-4c7a-b21d-8ca64eeef1bd_SetDate">
    <vt:lpwstr>2024-01-29T08:28:28Z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bfc63879-cc82-4621-97a0-63d5d3d363f1</vt:lpwstr>
  </property>
  <property fmtid="{D5CDD505-2E9C-101B-9397-08002B2CF9AE}" pid="16" name="MSIP_Label_ecb69475-382c-4c7a-b21d-8ca64eeef1bd_ContentBits">
    <vt:lpwstr>0</vt:lpwstr>
  </property>
</Properties>
</file>