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Perfiles\MRL7116\Documents\OneDrive - Madrid Digital\ACCESIBILIDAD\hospital-12octubre\2023\"/>
    </mc:Choice>
  </mc:AlternateContent>
  <bookViews>
    <workbookView xWindow="-110" yWindow="-110" windowWidth="23260" windowHeight="12580" tabRatio="808" firstSheet="2" activeTab="11"/>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D1891" i="22"/>
  <c r="E1891" i="22" s="1"/>
  <c r="E1889" i="22"/>
  <c r="E1887" i="22"/>
  <c r="E1885" i="22"/>
  <c r="E1884" i="22"/>
  <c r="E1883" i="22"/>
  <c r="E1882" i="22"/>
  <c r="E1888" i="22" l="1"/>
  <c r="D1892" i="22"/>
  <c r="E1892" i="22" s="1"/>
  <c r="D1896" i="22"/>
  <c r="E1896" i="22" s="1"/>
  <c r="D1900" i="22"/>
  <c r="E1900" i="22" s="1"/>
  <c r="D1904" i="22"/>
  <c r="E1904" i="22" s="1"/>
  <c r="D1908" i="22"/>
  <c r="E1908" i="22" s="1"/>
  <c r="D1912" i="22"/>
  <c r="E1912" i="22" s="1"/>
  <c r="E1886" i="22"/>
  <c r="D1890" i="22"/>
  <c r="E1890" i="22" s="1"/>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304" i="15" l="1"/>
  <c r="D224" i="5"/>
  <c r="CG20" i="9"/>
  <c r="DC3" i="19" s="1"/>
  <c r="D238" i="5"/>
  <c r="D228" i="5"/>
  <c r="D1165" i="21"/>
  <c r="D1253" i="22"/>
  <c r="D157" i="14"/>
  <c r="D139" i="21"/>
  <c r="D34" i="13"/>
  <c r="D198" i="18"/>
  <c r="D108" i="13"/>
  <c r="D308" i="15"/>
  <c r="D1249" i="22"/>
  <c r="D51" i="13"/>
  <c r="D66" i="13"/>
  <c r="D70" i="13"/>
  <c r="D82" i="13"/>
  <c r="D90" i="13"/>
  <c r="D668" i="21"/>
  <c r="D672" i="21"/>
  <c r="D723" i="21"/>
  <c r="D424" i="22"/>
  <c r="D1336" i="22"/>
  <c r="D1332" i="22"/>
  <c r="D1873" i="22"/>
  <c r="D927" i="22"/>
  <c r="D911" i="22"/>
  <c r="D907" i="22"/>
  <c r="D943" i="22"/>
  <c r="D144" i="15"/>
  <c r="D152" i="15"/>
  <c r="D1486" i="21"/>
  <c r="CG30" i="9" a="1"/>
  <c r="CG30" i="9" s="1"/>
  <c r="DC13" i="19" s="1"/>
  <c r="T13" i="19"/>
  <c r="V13" i="19" s="1"/>
  <c r="CG34" i="9" a="1"/>
  <c r="CG34" i="9" s="1"/>
  <c r="DC17" i="19" s="1"/>
  <c r="T17" i="19"/>
  <c r="V17" i="19" s="1"/>
  <c r="CG54" i="9" a="1"/>
  <c r="CG54" i="9" s="1"/>
  <c r="DC37" i="19" s="1"/>
  <c r="T37" i="19"/>
  <c r="V37" i="19" s="1"/>
  <c r="T6" i="19"/>
  <c r="V6"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CG29" i="9" a="1"/>
  <c r="CG29" i="9" s="1"/>
  <c r="DC12"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28" i="18"/>
  <c r="D32" i="18"/>
  <c r="D76" i="18"/>
  <c r="D127" i="18"/>
  <c r="T5" i="19"/>
  <c r="V5" i="19" s="1"/>
  <c r="T9" i="19"/>
  <c r="V9" i="19" s="1"/>
  <c r="CG42" i="9" a="1"/>
  <c r="CG42" i="9" s="1"/>
  <c r="DC25" i="19" s="1"/>
  <c r="T25" i="19"/>
  <c r="V25" i="19" s="1"/>
  <c r="T7" i="19"/>
  <c r="V7"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31" i="5"/>
  <c r="D70" i="15"/>
  <c r="D91" i="15"/>
  <c r="D143" i="15"/>
  <c r="D147" i="15"/>
  <c r="D155" i="15"/>
  <c r="D163" i="15"/>
  <c r="D186" i="15"/>
  <c r="D190" i="15"/>
  <c r="D201" i="14"/>
  <c r="D193" i="14"/>
  <c r="D185" i="14"/>
  <c r="D543" i="14"/>
  <c r="D50" i="15"/>
  <c r="D69" i="15"/>
  <c r="D146" i="15"/>
  <c r="D150" i="15"/>
  <c r="D162" i="15"/>
  <c r="D185" i="15"/>
  <c r="D35" i="13"/>
  <c r="D75" i="13"/>
  <c r="D678" i="14"/>
  <c r="D674"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358" i="22"/>
  <c r="D139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28" i="5"/>
  <c r="D47" i="5"/>
  <c r="D67" i="5"/>
  <c r="D89" i="5"/>
  <c r="D104" i="5"/>
  <c r="D108" i="5"/>
  <c r="D112" i="5"/>
  <c r="D143" i="5"/>
  <c r="D147" i="5"/>
  <c r="D151" i="5"/>
  <c r="D294" i="15"/>
  <c r="D302" i="15"/>
  <c r="D306" i="15"/>
  <c r="D408" i="22"/>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67" i="13"/>
  <c r="D78" i="13"/>
  <c r="D86" i="13"/>
  <c r="D105" i="13"/>
  <c r="D112" i="13"/>
  <c r="D113" i="13"/>
  <c r="D118" i="13"/>
  <c r="D126" i="13"/>
  <c r="D506" i="14"/>
  <c r="D695" i="14"/>
  <c r="D29" i="15"/>
  <c r="D52" i="15"/>
  <c r="D68" i="15"/>
  <c r="D113" i="15"/>
  <c r="D114" i="15"/>
  <c r="D203" i="15"/>
  <c r="D204" i="15"/>
  <c r="D205" i="15"/>
  <c r="D231" i="15"/>
  <c r="D104" i="13"/>
  <c r="D151" i="14"/>
  <c r="D143" i="14"/>
  <c r="D234" i="14"/>
  <c r="D490" i="14"/>
  <c r="D679" i="14"/>
  <c r="D44" i="15"/>
  <c r="D46" i="13"/>
  <c r="D74" i="13"/>
  <c r="D165" i="14"/>
  <c r="D243" i="14"/>
  <c r="D239" i="14"/>
  <c r="D235" i="14"/>
  <c r="D501" i="14"/>
  <c r="D497" i="14"/>
  <c r="D527" i="14"/>
  <c r="D686" i="14"/>
  <c r="D180" i="15"/>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56" i="15"/>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2"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67" i="18"/>
  <c r="D104" i="18"/>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180" i="5"/>
  <c r="D456" i="14"/>
  <c r="D71" i="15"/>
  <c r="D109" i="22"/>
  <c r="D83" i="13"/>
  <c r="D91"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561" i="22"/>
  <c r="D28" i="13"/>
  <c r="D29" i="13"/>
  <c r="D42" i="13"/>
  <c r="D47" i="13"/>
  <c r="D50" i="13"/>
  <c r="D159" i="14"/>
  <c r="D394" i="14"/>
  <c r="D432" i="14"/>
  <c r="D428" i="14"/>
  <c r="D424" i="14"/>
  <c r="D420" i="14"/>
  <c r="D416" i="14"/>
  <c r="D505" i="14"/>
  <c r="D489" i="14"/>
  <c r="D535" i="14"/>
  <c r="D584" i="14"/>
  <c r="D579" i="14"/>
  <c r="D736" i="14"/>
  <c r="D66" i="15"/>
  <c r="D67" i="15"/>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04" i="15"/>
  <c r="D115" i="15"/>
  <c r="D120" i="15"/>
  <c r="D166" i="15"/>
  <c r="D193" i="15"/>
  <c r="D225" i="15"/>
  <c r="D226" i="15"/>
  <c r="D227" i="15"/>
  <c r="D228" i="15"/>
  <c r="D229" i="15"/>
  <c r="D240" i="15"/>
  <c r="D259" i="15"/>
  <c r="D264" i="15"/>
  <c r="D295"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092" i="22"/>
  <c r="D1134" i="22"/>
  <c r="D1180" i="22"/>
  <c r="D1299" i="22"/>
  <c r="D1294" i="22"/>
  <c r="D1331" i="22"/>
  <c r="D1362"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3" i="5"/>
  <c r="D184" i="5"/>
  <c r="D191" i="5"/>
  <c r="D192" i="5"/>
  <c r="D198" i="5"/>
  <c r="D202" i="5"/>
  <c r="D40" i="18"/>
  <c r="D51" i="18"/>
  <c r="D75" i="18"/>
  <c r="D86" i="18"/>
  <c r="D89" i="18"/>
  <c r="D107" i="18"/>
  <c r="D110" i="18"/>
  <c r="D120" i="18"/>
  <c r="D143" i="18"/>
  <c r="D147" i="18"/>
  <c r="D151" i="18"/>
  <c r="D155" i="18"/>
  <c r="D159" i="18"/>
  <c r="D163" i="18"/>
  <c r="D167" i="18"/>
  <c r="D182"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8" i="5"/>
  <c r="D82" i="5"/>
  <c r="D90" i="5"/>
  <c r="D106" i="5"/>
  <c r="D107" i="5"/>
  <c r="D115" i="5"/>
  <c r="D123" i="5"/>
  <c r="D220" i="5"/>
  <c r="D226" i="5"/>
  <c r="D234" i="5"/>
  <c r="D242" i="5"/>
  <c r="D184" i="15"/>
  <c r="D296" i="15"/>
  <c r="D31" i="1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08" i="14"/>
  <c r="D163" i="14"/>
  <c r="D153" i="14"/>
  <c r="D147" i="14"/>
  <c r="D240" i="14"/>
  <c r="D279" i="14"/>
  <c r="D271" i="14"/>
  <c r="D263"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8" i="13"/>
  <c r="D72" i="13"/>
  <c r="D76" i="13"/>
  <c r="D80" i="13"/>
  <c r="D84" i="13"/>
  <c r="D88" i="13"/>
  <c r="D107" i="13"/>
  <c r="D111" i="13"/>
  <c r="D448" i="14"/>
  <c r="D502" i="14"/>
  <c r="D494" i="14"/>
  <c r="D576" i="14"/>
  <c r="D571" i="14"/>
  <c r="D619" i="14"/>
  <c r="D611" i="14"/>
  <c r="D603" i="14"/>
  <c r="D733" i="14"/>
  <c r="D28" i="15"/>
  <c r="D35" i="15"/>
  <c r="D37" i="15"/>
  <c r="D38" i="15"/>
  <c r="D42" i="15"/>
  <c r="D43" i="15"/>
  <c r="D82" i="15"/>
  <c r="D107" i="15"/>
  <c r="D123" i="15"/>
  <c r="D142" i="15"/>
  <c r="D153" i="15"/>
  <c r="D156" i="15"/>
  <c r="D157" i="15"/>
  <c r="D158" i="15"/>
  <c r="D188" i="15"/>
  <c r="D192" i="15"/>
  <c r="D198" i="15"/>
  <c r="D201" i="15"/>
  <c r="D202" i="15"/>
  <c r="D223" i="15"/>
  <c r="D239" i="15"/>
  <c r="D257" i="15"/>
  <c r="D258" i="15"/>
  <c r="D260" i="15"/>
  <c r="D270" i="15"/>
  <c r="D277" i="15"/>
  <c r="D278" i="15"/>
  <c r="D299" i="15"/>
  <c r="D300" i="15"/>
  <c r="D305" i="15"/>
  <c r="D311" i="15"/>
  <c r="D312" i="15"/>
  <c r="D313" i="15"/>
  <c r="D319" i="15"/>
  <c r="D334" i="15"/>
  <c r="D335" i="15"/>
  <c r="D343" i="15"/>
  <c r="D344" i="15"/>
  <c r="D31" i="13"/>
  <c r="D32"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388" i="14"/>
  <c r="D427" i="14"/>
  <c r="D419" i="14"/>
  <c r="D487" i="14"/>
  <c r="D542" i="14"/>
  <c r="D541" i="14"/>
  <c r="D526"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81" i="15"/>
  <c r="D182" i="15"/>
  <c r="D183" i="15"/>
  <c r="D195" i="15"/>
  <c r="D218" i="15"/>
  <c r="D219" i="15"/>
  <c r="D220" i="15"/>
  <c r="D221" i="15"/>
  <c r="D233" i="15"/>
  <c r="D234" i="15"/>
  <c r="D235" i="15"/>
  <c r="D236" i="15"/>
  <c r="D237" i="15"/>
  <c r="D275" i="15"/>
  <c r="D298" i="15"/>
  <c r="D310" i="15"/>
  <c r="D317" i="15"/>
  <c r="D318" i="15"/>
  <c r="D333" i="15"/>
  <c r="D342" i="15"/>
  <c r="D347" i="15"/>
  <c r="D657" i="22"/>
  <c r="D649" i="22"/>
  <c r="D641" i="22"/>
  <c r="D734" i="22"/>
  <c r="D718" i="22"/>
  <c r="D761" i="22"/>
  <c r="D753" i="22"/>
  <c r="D807" i="22"/>
  <c r="D356" i="15"/>
  <c r="D49" i="22"/>
  <c r="D75" i="22"/>
  <c r="D67" i="22"/>
  <c r="D115" i="22"/>
  <c r="D162" i="22"/>
  <c r="D161" i="22"/>
  <c r="D154" i="22"/>
  <c r="D153" i="22"/>
  <c r="D146" i="22"/>
  <c r="D145" i="22"/>
  <c r="D203" i="22"/>
  <c r="D195" i="22"/>
  <c r="D187" i="22"/>
  <c r="D238" i="22"/>
  <c r="D230" i="22"/>
  <c r="D222" i="22"/>
  <c r="D357" i="22"/>
  <c r="D349" i="22"/>
  <c r="D341" i="22"/>
  <c r="D333" i="22"/>
  <c r="D459" i="22"/>
  <c r="D496" i="22"/>
  <c r="D488" i="22"/>
  <c r="D528" i="22"/>
  <c r="D34" i="22"/>
  <c r="D88" i="22"/>
  <c r="D80" i="22"/>
  <c r="D126" i="22"/>
  <c r="D316" i="22"/>
  <c r="D308" i="22"/>
  <c r="D300" i="22"/>
  <c r="D460" i="22"/>
  <c r="D452" i="22"/>
  <c r="D726" i="22"/>
  <c r="D765" i="22"/>
  <c r="D757" i="22"/>
  <c r="D884" i="22"/>
  <c r="D868" i="22"/>
  <c r="D925" i="22"/>
  <c r="D53" i="22"/>
  <c r="D45" i="22"/>
  <c r="D71" i="22"/>
  <c r="D120" i="22"/>
  <c r="D107" i="22"/>
  <c r="D199" i="22"/>
  <c r="D191" i="22"/>
  <c r="D241" i="22"/>
  <c r="D233" i="22"/>
  <c r="D225" i="22"/>
  <c r="D353" i="22"/>
  <c r="D345" i="22"/>
  <c r="D337" i="22"/>
  <c r="D465" i="22"/>
  <c r="D455" i="22"/>
  <c r="D491" i="22"/>
  <c r="D562" i="22"/>
  <c r="D621" i="22"/>
  <c r="D613" i="22"/>
  <c r="D605" i="22"/>
  <c r="D768" i="22"/>
  <c r="D795" i="22"/>
  <c r="D1284"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058" i="22"/>
  <c r="D1114" i="22"/>
  <c r="D1113" i="22"/>
  <c r="D1154" i="22"/>
  <c r="D1146" i="22"/>
  <c r="D1138" i="22"/>
  <c r="D1130" i="22"/>
  <c r="D1192" i="22"/>
  <c r="D1184" i="22"/>
  <c r="D1176" i="22"/>
  <c r="D1168" i="22"/>
  <c r="D1414" i="22"/>
  <c r="D1398" i="22"/>
  <c r="D1437"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978" i="22"/>
  <c r="D1036" i="22"/>
  <c r="D1020" i="22"/>
  <c r="D1054" i="22"/>
  <c r="D1104" i="22"/>
  <c r="D1098" i="22"/>
  <c r="D1097" i="22"/>
  <c r="D1149" i="22"/>
  <c r="D1141" i="22"/>
  <c r="D1133" i="22"/>
  <c r="D1187" i="22"/>
  <c r="D1179" i="22"/>
  <c r="D1171" i="22"/>
  <c r="D1261" i="22"/>
  <c r="D1245" i="22"/>
  <c r="D1342" i="22"/>
  <c r="D1335" i="22"/>
  <c r="D1328" i="22"/>
  <c r="D1327" i="22"/>
  <c r="D1320" i="22"/>
  <c r="D1364" i="22"/>
  <c r="D1419" i="22"/>
  <c r="D1416" i="22"/>
  <c r="D1405" i="22"/>
  <c r="D1570" i="22"/>
  <c r="D1562" i="22"/>
  <c r="D1552" i="22"/>
  <c r="D1647" i="22"/>
  <c r="D1639" i="22"/>
  <c r="D1631" i="22"/>
  <c r="D1682" i="22"/>
  <c r="D1664" i="22"/>
  <c r="D1743" i="22"/>
  <c r="D1787"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29" i="5"/>
  <c r="D35" i="5"/>
  <c r="D45" i="5"/>
  <c r="D48" i="5"/>
  <c r="D51" i="5"/>
  <c r="D66" i="5"/>
  <c r="D69" i="5"/>
  <c r="D78" i="5"/>
  <c r="D109" i="5"/>
  <c r="D117" i="5"/>
  <c r="D125" i="5"/>
  <c r="D145" i="5"/>
  <c r="D146" i="5"/>
  <c r="D153" i="5"/>
  <c r="D181" i="5"/>
  <c r="D182" i="5"/>
  <c r="D189" i="5"/>
  <c r="D190" i="5"/>
  <c r="D197" i="5"/>
  <c r="D219" i="5"/>
  <c r="D68" i="18"/>
  <c r="D1496" i="21"/>
  <c r="D1526" i="21"/>
  <c r="D1540" i="21"/>
  <c r="D114" i="5"/>
  <c r="D122" i="5"/>
  <c r="D14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05"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1" i="18"/>
  <c r="D189" i="18"/>
  <c r="D193" i="18"/>
  <c r="D45" i="18"/>
  <c r="D205" i="18"/>
  <c r="D203" i="5"/>
  <c r="D204" i="5"/>
  <c r="D218" i="5"/>
  <c r="D36" i="18"/>
  <c r="D39" i="18"/>
  <c r="D42" i="18"/>
  <c r="D52" i="18"/>
  <c r="D71" i="18"/>
  <c r="D74" i="18"/>
  <c r="D77" i="18"/>
  <c r="D87" i="18"/>
  <c r="D90" i="18"/>
  <c r="D108" i="18"/>
  <c r="D111" i="18"/>
  <c r="D115" i="18"/>
  <c r="D142" i="18"/>
  <c r="D149" i="18"/>
  <c r="D150" i="18"/>
  <c r="D157" i="18"/>
  <c r="D158" i="18"/>
  <c r="D165" i="18"/>
  <c r="D166" i="18"/>
  <c r="D184" i="18"/>
  <c r="D185" i="18"/>
  <c r="E1881" i="22"/>
  <c r="D33" i="13"/>
  <c r="D47" i="15"/>
  <c r="D48" i="15"/>
  <c r="D78" i="15"/>
  <c r="D83" i="15"/>
  <c r="D105" i="15"/>
  <c r="D106" i="15"/>
  <c r="D121" i="15"/>
  <c r="D122" i="15"/>
  <c r="D197" i="15"/>
  <c r="D222" i="15"/>
  <c r="D238" i="15"/>
  <c r="D269" i="15"/>
  <c r="D351" i="15"/>
  <c r="D123" i="13"/>
  <c r="D145" i="15"/>
  <c r="D148" i="15"/>
  <c r="D161" i="15"/>
  <c r="D164" i="15"/>
  <c r="D232" i="15"/>
  <c r="D281" i="15"/>
  <c r="D316" i="15"/>
  <c r="D469" i="14"/>
  <c r="D486"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07" i="14"/>
  <c r="D105" i="14"/>
  <c r="D198" i="14"/>
  <c r="D190" i="14"/>
  <c r="D182" i="14"/>
  <c r="D233" i="14"/>
  <c r="D224" i="14"/>
  <c r="D278" i="14"/>
  <c r="D270" i="14"/>
  <c r="D262" i="14"/>
  <c r="D357" i="14"/>
  <c r="D354" i="14"/>
  <c r="D353" i="14"/>
  <c r="D350" i="14"/>
  <c r="D349" i="14"/>
  <c r="D346" i="14"/>
  <c r="D345" i="14"/>
  <c r="D342" i="14"/>
  <c r="D341" i="14"/>
  <c r="D338" i="14"/>
  <c r="D337" i="14"/>
  <c r="D334" i="14"/>
  <c r="D333" i="14"/>
  <c r="D385" i="14"/>
  <c r="D381" i="14"/>
  <c r="D468" i="14"/>
  <c r="D460" i="14"/>
  <c r="D452" i="14"/>
  <c r="D545" i="14"/>
  <c r="D537" i="14"/>
  <c r="D529" i="14"/>
  <c r="D621" i="14"/>
  <c r="D613" i="14"/>
  <c r="D605" i="14"/>
  <c r="D685" i="14"/>
  <c r="D677" i="14"/>
  <c r="D675" i="14"/>
  <c r="D735" i="14"/>
  <c r="D726" i="14"/>
  <c r="D718"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0" i="9" a="1"/>
  <c r="CP30" i="9" s="1"/>
  <c r="CL30" i="9" a="1"/>
  <c r="CL30" i="9" s="1"/>
  <c r="CH30" i="9" a="1"/>
  <c r="CH30" i="9" s="1"/>
  <c r="CC30" i="9" a="1"/>
  <c r="CC30" i="9" s="1"/>
  <c r="BY30" i="9" a="1"/>
  <c r="BY30" i="9" s="1"/>
  <c r="BU30" i="9" a="1"/>
  <c r="BU30" i="9" s="1"/>
  <c r="BQ30" i="9" a="1"/>
  <c r="BQ30" i="9" s="1"/>
  <c r="BM30" i="9" a="1"/>
  <c r="BM30" i="9" s="1"/>
  <c r="BI30" i="9" a="1"/>
  <c r="BI30" i="9" s="1"/>
  <c r="BE30" i="9" a="1"/>
  <c r="BE30" i="9" s="1"/>
  <c r="BA30" i="9" a="1"/>
  <c r="BA30" i="9" s="1"/>
  <c r="AW30" i="9" a="1"/>
  <c r="AW30" i="9" s="1"/>
  <c r="AS30" i="9" a="1"/>
  <c r="AS30" i="9" s="1"/>
  <c r="AO30" i="9" a="1"/>
  <c r="AO30" i="9" s="1"/>
  <c r="AK30" i="9" a="1"/>
  <c r="AK30" i="9" s="1"/>
  <c r="AG30" i="9" a="1"/>
  <c r="AG30" i="9" s="1"/>
  <c r="AC30" i="9" a="1"/>
  <c r="AC30" i="9" s="1"/>
  <c r="Y30" i="9" a="1"/>
  <c r="Y30" i="9" s="1"/>
  <c r="U30" i="9" a="1"/>
  <c r="U30" i="9" s="1"/>
  <c r="Q30" i="9" a="1"/>
  <c r="Q30" i="9" s="1"/>
  <c r="M30" i="9" a="1"/>
  <c r="M30" i="9" s="1"/>
  <c r="I30" i="9" a="1"/>
  <c r="I30" i="9" s="1"/>
  <c r="E30" i="9" a="1"/>
  <c r="E30" i="9" s="1"/>
  <c r="CO30" i="9" a="1"/>
  <c r="CO30" i="9" s="1"/>
  <c r="CK30" i="9" a="1"/>
  <c r="CK30" i="9" s="1"/>
  <c r="CF30" i="9" a="1"/>
  <c r="CF30" i="9" s="1"/>
  <c r="CB30" i="9" a="1"/>
  <c r="CB30" i="9" s="1"/>
  <c r="BX30" i="9" a="1"/>
  <c r="BX30" i="9" s="1"/>
  <c r="BT30" i="9" a="1"/>
  <c r="BT30" i="9" s="1"/>
  <c r="BP30" i="9" a="1"/>
  <c r="BP30" i="9" s="1"/>
  <c r="BL30" i="9" a="1"/>
  <c r="BL30" i="9" s="1"/>
  <c r="BH30" i="9" a="1"/>
  <c r="BH30" i="9" s="1"/>
  <c r="BD30" i="9" a="1"/>
  <c r="BD30" i="9" s="1"/>
  <c r="AZ30" i="9" a="1"/>
  <c r="AZ30" i="9" s="1"/>
  <c r="AV30" i="9" a="1"/>
  <c r="AV30" i="9" s="1"/>
  <c r="AR30" i="9" a="1"/>
  <c r="AR30" i="9" s="1"/>
  <c r="AN30" i="9" a="1"/>
  <c r="AN30" i="9" s="1"/>
  <c r="AJ30" i="9" a="1"/>
  <c r="AJ30" i="9" s="1"/>
  <c r="AF30" i="9" a="1"/>
  <c r="AF30" i="9" s="1"/>
  <c r="AB30" i="9" a="1"/>
  <c r="AB30" i="9" s="1"/>
  <c r="X30" i="9" a="1"/>
  <c r="X30" i="9" s="1"/>
  <c r="T30" i="9" a="1"/>
  <c r="T30" i="9" s="1"/>
  <c r="P30" i="9" a="1"/>
  <c r="P30" i="9" s="1"/>
  <c r="L30" i="9" a="1"/>
  <c r="L30" i="9" s="1"/>
  <c r="H30" i="9" a="1"/>
  <c r="H30" i="9" s="1"/>
  <c r="CM30" i="9" a="1"/>
  <c r="CM30" i="9" s="1"/>
  <c r="CD30" i="9" a="1"/>
  <c r="CD30" i="9" s="1"/>
  <c r="BV30" i="9" a="1"/>
  <c r="BV30" i="9" s="1"/>
  <c r="BN30" i="9" a="1"/>
  <c r="BN30" i="9" s="1"/>
  <c r="BF30" i="9" a="1"/>
  <c r="BF30" i="9" s="1"/>
  <c r="AX30" i="9" a="1"/>
  <c r="AX30" i="9" s="1"/>
  <c r="AP30" i="9" a="1"/>
  <c r="AP30" i="9" s="1"/>
  <c r="AH30" i="9" a="1"/>
  <c r="AH30" i="9" s="1"/>
  <c r="Z30" i="9" a="1"/>
  <c r="Z30" i="9" s="1"/>
  <c r="R30" i="9" a="1"/>
  <c r="R30" i="9" s="1"/>
  <c r="J30" i="9" a="1"/>
  <c r="J30" i="9" s="1"/>
  <c r="CR30" i="9" a="1"/>
  <c r="CR30" i="9" s="1"/>
  <c r="CJ30" i="9" a="1"/>
  <c r="CJ30" i="9" s="1"/>
  <c r="CA30" i="9" a="1"/>
  <c r="CA30" i="9" s="1"/>
  <c r="BS30" i="9" a="1"/>
  <c r="BS30" i="9" s="1"/>
  <c r="BK30" i="9" a="1"/>
  <c r="BK30" i="9" s="1"/>
  <c r="BC30" i="9" a="1"/>
  <c r="BC30" i="9" s="1"/>
  <c r="AU30" i="9" a="1"/>
  <c r="AU30" i="9" s="1"/>
  <c r="AM30" i="9" a="1"/>
  <c r="AM30" i="9" s="1"/>
  <c r="AE30" i="9" a="1"/>
  <c r="AE30" i="9" s="1"/>
  <c r="W30" i="9" a="1"/>
  <c r="W30" i="9" s="1"/>
  <c r="O30" i="9" a="1"/>
  <c r="O30" i="9" s="1"/>
  <c r="G30" i="9" a="1"/>
  <c r="G30" i="9" s="1"/>
  <c r="CQ30" i="9" a="1"/>
  <c r="CQ30" i="9" s="1"/>
  <c r="CI30" i="9" a="1"/>
  <c r="CI30" i="9" s="1"/>
  <c r="BZ30" i="9" a="1"/>
  <c r="BZ30" i="9" s="1"/>
  <c r="BR30" i="9" a="1"/>
  <c r="BR30" i="9" s="1"/>
  <c r="BJ30" i="9" a="1"/>
  <c r="BJ30" i="9" s="1"/>
  <c r="BB30" i="9" a="1"/>
  <c r="BB30" i="9" s="1"/>
  <c r="AT30" i="9" a="1"/>
  <c r="AT30" i="9" s="1"/>
  <c r="AL30" i="9" a="1"/>
  <c r="AL30" i="9" s="1"/>
  <c r="AD30" i="9" a="1"/>
  <c r="AD30" i="9" s="1"/>
  <c r="V30" i="9" a="1"/>
  <c r="V30" i="9" s="1"/>
  <c r="N30" i="9" a="1"/>
  <c r="N30" i="9" s="1"/>
  <c r="F30" i="9" a="1"/>
  <c r="F30" i="9" s="1"/>
  <c r="CN30" i="9" a="1"/>
  <c r="CN30" i="9" s="1"/>
  <c r="CE30" i="9" a="1"/>
  <c r="CE30" i="9" s="1"/>
  <c r="BW30" i="9" a="1"/>
  <c r="BW30" i="9" s="1"/>
  <c r="BO30" i="9" a="1"/>
  <c r="BO30" i="9" s="1"/>
  <c r="BG30" i="9" a="1"/>
  <c r="BG30" i="9" s="1"/>
  <c r="AY30" i="9" a="1"/>
  <c r="AY30" i="9" s="1"/>
  <c r="AQ30" i="9" a="1"/>
  <c r="AQ30" i="9" s="1"/>
  <c r="AI30" i="9" a="1"/>
  <c r="AI30" i="9" s="1"/>
  <c r="AA30" i="9" a="1"/>
  <c r="AA30" i="9" s="1"/>
  <c r="S30" i="9" a="1"/>
  <c r="S30" i="9" s="1"/>
  <c r="K30" i="9" a="1"/>
  <c r="K30"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34" i="14"/>
  <c r="D31" i="14"/>
  <c r="D126" i="14"/>
  <c r="D122" i="14"/>
  <c r="D118" i="14"/>
  <c r="D114" i="14"/>
  <c r="D110" i="14"/>
  <c r="D106" i="14"/>
  <c r="D164" i="14"/>
  <c r="D160" i="14"/>
  <c r="D156" i="14"/>
  <c r="D152" i="14"/>
  <c r="D148" i="14"/>
  <c r="D144" i="14"/>
  <c r="D203" i="14"/>
  <c r="D195" i="14"/>
  <c r="D187" i="14"/>
  <c r="D232" i="14"/>
  <c r="D229" i="14"/>
  <c r="D221" i="14"/>
  <c r="D275" i="14"/>
  <c r="D267" i="14"/>
  <c r="D259" i="14"/>
  <c r="D391" i="14"/>
  <c r="D384" i="14"/>
  <c r="D380" i="14"/>
  <c r="D377" i="14"/>
  <c r="D413" i="14"/>
  <c r="D465" i="14"/>
  <c r="D457" i="14"/>
  <c r="D449" i="14"/>
  <c r="D544" i="14"/>
  <c r="D536" i="14"/>
  <c r="D528" i="14"/>
  <c r="D620" i="14"/>
  <c r="D612" i="14"/>
  <c r="D604" i="14"/>
  <c r="D684" i="14"/>
  <c r="D676" i="14"/>
  <c r="D734" i="14"/>
  <c r="D731" i="14"/>
  <c r="D723" i="14"/>
  <c r="D715" i="14"/>
  <c r="D1116" i="22"/>
  <c r="CO29" i="9" a="1"/>
  <c r="CO29" i="9" s="1"/>
  <c r="CK29" i="9" a="1"/>
  <c r="CK29" i="9" s="1"/>
  <c r="CF29" i="9" a="1"/>
  <c r="CF29" i="9" s="1"/>
  <c r="CB29" i="9" a="1"/>
  <c r="CB29" i="9" s="1"/>
  <c r="BX29" i="9" a="1"/>
  <c r="BX29" i="9" s="1"/>
  <c r="BT29" i="9" a="1"/>
  <c r="BT29" i="9" s="1"/>
  <c r="BP29" i="9" a="1"/>
  <c r="BP29" i="9" s="1"/>
  <c r="BL29" i="9" a="1"/>
  <c r="BL29" i="9" s="1"/>
  <c r="BH29" i="9" a="1"/>
  <c r="BH29" i="9" s="1"/>
  <c r="BD29" i="9" a="1"/>
  <c r="BD29" i="9" s="1"/>
  <c r="AZ29" i="9" a="1"/>
  <c r="AZ29" i="9" s="1"/>
  <c r="AV29" i="9" a="1"/>
  <c r="AV29" i="9" s="1"/>
  <c r="AR29" i="9" a="1"/>
  <c r="AR29" i="9" s="1"/>
  <c r="AN29" i="9" a="1"/>
  <c r="AN29" i="9" s="1"/>
  <c r="AJ29" i="9" a="1"/>
  <c r="AJ29" i="9" s="1"/>
  <c r="AF29" i="9" a="1"/>
  <c r="AF29" i="9" s="1"/>
  <c r="AB29" i="9" a="1"/>
  <c r="AB29" i="9" s="1"/>
  <c r="X29" i="9" a="1"/>
  <c r="X29" i="9" s="1"/>
  <c r="T29" i="9" a="1"/>
  <c r="T29" i="9" s="1"/>
  <c r="P29" i="9" a="1"/>
  <c r="P29" i="9" s="1"/>
  <c r="L29" i="9" a="1"/>
  <c r="L29" i="9" s="1"/>
  <c r="H29" i="9" a="1"/>
  <c r="H29" i="9" s="1"/>
  <c r="CR29" i="9" a="1"/>
  <c r="CR29" i="9" s="1"/>
  <c r="CN29" i="9" a="1"/>
  <c r="CN29" i="9" s="1"/>
  <c r="CJ29" i="9" a="1"/>
  <c r="CJ29" i="9" s="1"/>
  <c r="CE29" i="9" a="1"/>
  <c r="CE29" i="9" s="1"/>
  <c r="CA29" i="9" a="1"/>
  <c r="CA29" i="9" s="1"/>
  <c r="BW29" i="9" a="1"/>
  <c r="BW29" i="9" s="1"/>
  <c r="BS29" i="9" a="1"/>
  <c r="BS29" i="9" s="1"/>
  <c r="BO29" i="9" a="1"/>
  <c r="BO29" i="9" s="1"/>
  <c r="BK29" i="9" a="1"/>
  <c r="BK29" i="9" s="1"/>
  <c r="BG29" i="9" a="1"/>
  <c r="BG29" i="9" s="1"/>
  <c r="BC29" i="9" a="1"/>
  <c r="BC29" i="9" s="1"/>
  <c r="AY29" i="9" a="1"/>
  <c r="AY29" i="9" s="1"/>
  <c r="AU29" i="9" a="1"/>
  <c r="AU29" i="9" s="1"/>
  <c r="AQ29" i="9" a="1"/>
  <c r="AQ29" i="9" s="1"/>
  <c r="AM29" i="9" a="1"/>
  <c r="AM29" i="9" s="1"/>
  <c r="AI29" i="9" a="1"/>
  <c r="AI29" i="9" s="1"/>
  <c r="AE29" i="9" a="1"/>
  <c r="AE29" i="9" s="1"/>
  <c r="AA29" i="9" a="1"/>
  <c r="AA29" i="9" s="1"/>
  <c r="W29" i="9" a="1"/>
  <c r="W29" i="9" s="1"/>
  <c r="S29" i="9" a="1"/>
  <c r="S29" i="9" s="1"/>
  <c r="O29" i="9" a="1"/>
  <c r="O29" i="9" s="1"/>
  <c r="K29" i="9" a="1"/>
  <c r="K29" i="9" s="1"/>
  <c r="G29" i="9" a="1"/>
  <c r="G29" i="9" s="1"/>
  <c r="CP29" i="9" a="1"/>
  <c r="CP29" i="9" s="1"/>
  <c r="CH29" i="9" a="1"/>
  <c r="CH29" i="9" s="1"/>
  <c r="BY29" i="9" a="1"/>
  <c r="BY29" i="9" s="1"/>
  <c r="BQ29" i="9" a="1"/>
  <c r="BQ29" i="9" s="1"/>
  <c r="BI29" i="9" a="1"/>
  <c r="BI29" i="9" s="1"/>
  <c r="BA29" i="9" a="1"/>
  <c r="BA29" i="9" s="1"/>
  <c r="AS29" i="9" a="1"/>
  <c r="AS29" i="9" s="1"/>
  <c r="AK29" i="9" a="1"/>
  <c r="AK29" i="9" s="1"/>
  <c r="AC29" i="9" a="1"/>
  <c r="AC29" i="9" s="1"/>
  <c r="U29" i="9" a="1"/>
  <c r="U29" i="9" s="1"/>
  <c r="M29" i="9" a="1"/>
  <c r="M29" i="9" s="1"/>
  <c r="E29" i="9" a="1"/>
  <c r="E29" i="9" s="1"/>
  <c r="CM29" i="9" a="1"/>
  <c r="CM29" i="9" s="1"/>
  <c r="CD29" i="9" a="1"/>
  <c r="CD29" i="9" s="1"/>
  <c r="BV29" i="9" a="1"/>
  <c r="BV29" i="9" s="1"/>
  <c r="BN29" i="9" a="1"/>
  <c r="BN29" i="9" s="1"/>
  <c r="BF29" i="9" a="1"/>
  <c r="BF29" i="9" s="1"/>
  <c r="AX29" i="9" a="1"/>
  <c r="AX29" i="9" s="1"/>
  <c r="AP29" i="9" a="1"/>
  <c r="AP29" i="9" s="1"/>
  <c r="AH29" i="9" a="1"/>
  <c r="AH29" i="9" s="1"/>
  <c r="Z29" i="9" a="1"/>
  <c r="Z29" i="9" s="1"/>
  <c r="R29" i="9" a="1"/>
  <c r="R29" i="9" s="1"/>
  <c r="J29" i="9" a="1"/>
  <c r="J29" i="9" s="1"/>
  <c r="CL29" i="9" a="1"/>
  <c r="CL29" i="9" s="1"/>
  <c r="CC29" i="9" a="1"/>
  <c r="CC29" i="9" s="1"/>
  <c r="BU29" i="9" a="1"/>
  <c r="BU29" i="9" s="1"/>
  <c r="BM29" i="9" a="1"/>
  <c r="BM29" i="9" s="1"/>
  <c r="BE29" i="9" a="1"/>
  <c r="BE29" i="9" s="1"/>
  <c r="AW29" i="9" a="1"/>
  <c r="AW29" i="9" s="1"/>
  <c r="AO29" i="9" a="1"/>
  <c r="AO29" i="9" s="1"/>
  <c r="AG29" i="9" a="1"/>
  <c r="AG29" i="9" s="1"/>
  <c r="Y29" i="9" a="1"/>
  <c r="Y29" i="9" s="1"/>
  <c r="Q29" i="9" a="1"/>
  <c r="Q29" i="9" s="1"/>
  <c r="I29" i="9" a="1"/>
  <c r="I29" i="9" s="1"/>
  <c r="CQ29" i="9" a="1"/>
  <c r="CQ29" i="9" s="1"/>
  <c r="CI29" i="9" a="1"/>
  <c r="CI29" i="9" s="1"/>
  <c r="BZ29" i="9" a="1"/>
  <c r="BZ29" i="9" s="1"/>
  <c r="BR29" i="9" a="1"/>
  <c r="BR29" i="9" s="1"/>
  <c r="BJ29" i="9" a="1"/>
  <c r="BJ29" i="9" s="1"/>
  <c r="BB29" i="9" a="1"/>
  <c r="BB29" i="9" s="1"/>
  <c r="AT29" i="9" a="1"/>
  <c r="AT29" i="9" s="1"/>
  <c r="AL29" i="9" a="1"/>
  <c r="AL29" i="9" s="1"/>
  <c r="AD29" i="9" a="1"/>
  <c r="AD29" i="9" s="1"/>
  <c r="V29" i="9" a="1"/>
  <c r="V29" i="9" s="1"/>
  <c r="N29" i="9" a="1"/>
  <c r="N29" i="9" s="1"/>
  <c r="F29" i="9" a="1"/>
  <c r="F29" i="9" s="1"/>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67" i="14"/>
  <c r="D202" i="14"/>
  <c r="D194" i="14"/>
  <c r="D186" i="14"/>
  <c r="D228" i="14"/>
  <c r="D220" i="14"/>
  <c r="D274" i="14"/>
  <c r="D266" i="14"/>
  <c r="D258" i="14"/>
  <c r="D319" i="14"/>
  <c r="D316" i="14"/>
  <c r="D315" i="14"/>
  <c r="D312" i="14"/>
  <c r="D311" i="14"/>
  <c r="D308" i="14"/>
  <c r="D307" i="14"/>
  <c r="D304" i="14"/>
  <c r="D303" i="14"/>
  <c r="D300" i="14"/>
  <c r="D299" i="14"/>
  <c r="D296" i="14"/>
  <c r="D295" i="14"/>
  <c r="D392" i="14"/>
  <c r="D376" i="14"/>
  <c r="D430" i="14"/>
  <c r="D426" i="14"/>
  <c r="D422" i="14"/>
  <c r="D418" i="14"/>
  <c r="D414" i="14"/>
  <c r="D464" i="14"/>
  <c r="D525" i="14"/>
  <c r="D617" i="14"/>
  <c r="D609" i="14"/>
  <c r="D601" i="14"/>
  <c r="D637" i="14"/>
  <c r="D681" i="14"/>
  <c r="D730" i="14"/>
  <c r="D722" i="14"/>
  <c r="D714" i="14"/>
  <c r="D1420" i="22"/>
  <c r="D46" i="21"/>
  <c r="D59" i="21"/>
  <c r="D145" i="21"/>
  <c r="D161" i="21"/>
  <c r="D180" i="21"/>
  <c r="D39" i="22"/>
  <c r="D31" i="22"/>
  <c r="D85" i="22"/>
  <c r="D77" i="22"/>
  <c r="D122" i="22"/>
  <c r="D114" i="22"/>
  <c r="D113" i="22"/>
  <c r="D111" i="22"/>
  <c r="D160" i="22"/>
  <c r="D152" i="22"/>
  <c r="D144" i="22"/>
  <c r="D202" i="22"/>
  <c r="D198" i="22"/>
  <c r="D194" i="22"/>
  <c r="D190" i="22"/>
  <c r="D186" i="22"/>
  <c r="D240" i="22"/>
  <c r="D232" i="22"/>
  <c r="D224" i="22"/>
  <c r="D313" i="22"/>
  <c r="D305" i="22"/>
  <c r="D297" i="22"/>
  <c r="D395" i="22"/>
  <c r="D392" i="22"/>
  <c r="D391" i="22"/>
  <c r="D388" i="22"/>
  <c r="D387" i="22"/>
  <c r="D384" i="22"/>
  <c r="D383" i="22"/>
  <c r="D380" i="22"/>
  <c r="D379" i="22"/>
  <c r="D376" i="22"/>
  <c r="D431" i="22"/>
  <c r="D427" i="22"/>
  <c r="D423" i="22"/>
  <c r="D419" i="22"/>
  <c r="D415" i="22"/>
  <c r="D411" i="22"/>
  <c r="D469" i="22"/>
  <c r="D449" i="22"/>
  <c r="D509" i="22"/>
  <c r="D506" i="22"/>
  <c r="D505" i="22"/>
  <c r="D502" i="22"/>
  <c r="D501" i="22"/>
  <c r="D498" i="22"/>
  <c r="D490" i="22"/>
  <c r="D525" i="22"/>
  <c r="D620" i="22"/>
  <c r="D612" i="22"/>
  <c r="D604" i="22"/>
  <c r="D654" i="22"/>
  <c r="D646" i="22"/>
  <c r="D638" i="22"/>
  <c r="D692" i="22"/>
  <c r="D684" i="22"/>
  <c r="D676" i="22"/>
  <c r="D730" i="22"/>
  <c r="D722" i="22"/>
  <c r="D714" i="22"/>
  <c r="D772" i="22"/>
  <c r="D811" i="22"/>
  <c r="D809" i="22"/>
  <c r="D799" i="22"/>
  <c r="D791" i="22"/>
  <c r="D887" i="22"/>
  <c r="D879" i="22"/>
  <c r="D871" i="22"/>
  <c r="D904" i="22"/>
  <c r="D962" i="22"/>
  <c r="D958" i="22"/>
  <c r="D954" i="22"/>
  <c r="D950" i="22"/>
  <c r="D946" i="22"/>
  <c r="D942" i="22"/>
  <c r="D1003" i="22"/>
  <c r="D1002" i="22"/>
  <c r="D989" i="22"/>
  <c r="D1039" i="22"/>
  <c r="D1035" i="22"/>
  <c r="D1031" i="22"/>
  <c r="D1027" i="22"/>
  <c r="D1023" i="22"/>
  <c r="D1019" i="22"/>
  <c r="D1017" i="22"/>
  <c r="D1072" i="22"/>
  <c r="D1071" i="22"/>
  <c r="D1069" i="22"/>
  <c r="D1068" i="22"/>
  <c r="D1067" i="22"/>
  <c r="D1065" i="22"/>
  <c r="D1115" i="22"/>
  <c r="D1099" i="22"/>
  <c r="D1229" i="22"/>
  <c r="D1221" i="22"/>
  <c r="D1211" i="22"/>
  <c r="D1295" i="22"/>
  <c r="D1289" i="22"/>
  <c r="D1338" i="22"/>
  <c r="D1334" i="22"/>
  <c r="D1330" i="22"/>
  <c r="D1326" i="22"/>
  <c r="D1322" i="22"/>
  <c r="D1360" i="22"/>
  <c r="D1436" i="22"/>
  <c r="D1490" i="22"/>
  <c r="D1482" i="22"/>
  <c r="D1532" i="22"/>
  <c r="D1528" i="22"/>
  <c r="D1524" i="22"/>
  <c r="D1520" i="22"/>
  <c r="D1517" i="22"/>
  <c r="D1555" i="22"/>
  <c r="D1588" i="22"/>
  <c r="D1646" i="22"/>
  <c r="D1642" i="22"/>
  <c r="D1638" i="22"/>
  <c r="D1634" i="22"/>
  <c r="D1630" i="22"/>
  <c r="D1626" i="22"/>
  <c r="D1677" i="22"/>
  <c r="D1669" i="22"/>
  <c r="D1756" i="22"/>
  <c r="D1745" i="22"/>
  <c r="D1790" i="22"/>
  <c r="D1789" i="22"/>
  <c r="D1786" i="22"/>
  <c r="D1785" i="22"/>
  <c r="D1782" i="22"/>
  <c r="D1781" i="22"/>
  <c r="D1779" i="22"/>
  <c r="D1838" i="22"/>
  <c r="D1837" i="22"/>
  <c r="D1834" i="22"/>
  <c r="D1833" i="22"/>
  <c r="D1830" i="22"/>
  <c r="D1829" i="22"/>
  <c r="D1826" i="22"/>
  <c r="D1825" i="22"/>
  <c r="D1822" i="22"/>
  <c r="D1821" i="22"/>
  <c r="D1818" i="22"/>
  <c r="D1817" i="22"/>
  <c r="D1814" i="22"/>
  <c r="D1874" i="22"/>
  <c r="D1872" i="22"/>
  <c r="D1866" i="22"/>
  <c r="D1858" i="22"/>
  <c r="D38" i="22"/>
  <c r="D30" i="22"/>
  <c r="D84" i="22"/>
  <c r="D76" i="22"/>
  <c r="D72" i="22"/>
  <c r="D68" i="22"/>
  <c r="D119" i="22"/>
  <c r="D110" i="22"/>
  <c r="D163" i="22"/>
  <c r="D157" i="22"/>
  <c r="D149" i="22"/>
  <c r="D183" i="22"/>
  <c r="D237" i="22"/>
  <c r="D229" i="22"/>
  <c r="D221" i="22"/>
  <c r="D312" i="22"/>
  <c r="D304" i="22"/>
  <c r="D296" i="22"/>
  <c r="D354" i="22"/>
  <c r="D350" i="22"/>
  <c r="D346" i="22"/>
  <c r="D342" i="22"/>
  <c r="D338" i="22"/>
  <c r="D334" i="22"/>
  <c r="D373" i="22"/>
  <c r="D430" i="22"/>
  <c r="D426" i="22"/>
  <c r="D422" i="22"/>
  <c r="D418" i="22"/>
  <c r="D414" i="22"/>
  <c r="D410" i="22"/>
  <c r="D468" i="22"/>
  <c r="D448" i="22"/>
  <c r="D495" i="22"/>
  <c r="D487" i="22"/>
  <c r="D531" i="22"/>
  <c r="D524" i="22"/>
  <c r="D582" i="22"/>
  <c r="D578" i="22"/>
  <c r="D574" i="22"/>
  <c r="D570" i="22"/>
  <c r="D566" i="22"/>
  <c r="D617" i="22"/>
  <c r="D609" i="22"/>
  <c r="D600" i="22"/>
  <c r="D659" i="22"/>
  <c r="D651" i="22"/>
  <c r="D643" i="22"/>
  <c r="D697" i="22"/>
  <c r="D689" i="22"/>
  <c r="D681" i="22"/>
  <c r="D735" i="22"/>
  <c r="D727" i="22"/>
  <c r="D719" i="22"/>
  <c r="D769" i="22"/>
  <c r="D810" i="22"/>
  <c r="D798" i="22"/>
  <c r="D790" i="22"/>
  <c r="D851" i="22"/>
  <c r="D848" i="22"/>
  <c r="D847" i="22"/>
  <c r="D844" i="22"/>
  <c r="D843" i="22"/>
  <c r="D840" i="22"/>
  <c r="D839" i="22"/>
  <c r="D836" i="22"/>
  <c r="D835" i="22"/>
  <c r="D832" i="22"/>
  <c r="D831" i="22"/>
  <c r="D828" i="22"/>
  <c r="D827" i="22"/>
  <c r="D886" i="22"/>
  <c r="D878" i="22"/>
  <c r="D870" i="22"/>
  <c r="D1001" i="22"/>
  <c r="D988" i="22"/>
  <c r="D1038" i="22"/>
  <c r="D1034" i="22"/>
  <c r="D1030" i="22"/>
  <c r="D1026" i="22"/>
  <c r="D1022" i="22"/>
  <c r="D1018" i="22"/>
  <c r="D1064" i="22"/>
  <c r="D1060" i="22"/>
  <c r="D1056" i="22"/>
  <c r="D1111" i="22"/>
  <c r="D1095" i="22"/>
  <c r="D1228" i="22"/>
  <c r="D1220" i="22"/>
  <c r="D1216" i="22"/>
  <c r="D1212" i="22"/>
  <c r="D1304" i="22"/>
  <c r="D1300" i="22"/>
  <c r="D1296" i="22"/>
  <c r="D1288" i="22"/>
  <c r="D1418" i="22"/>
  <c r="D1410" i="22"/>
  <c r="D1439" i="22"/>
  <c r="D1495" i="22"/>
  <c r="D1487" i="22"/>
  <c r="D1478" i="22"/>
  <c r="D1474" i="22"/>
  <c r="D1516" i="22"/>
  <c r="D1515" i="22"/>
  <c r="D1514" i="22"/>
  <c r="D1554" i="22"/>
  <c r="D1551" i="22"/>
  <c r="D1610" i="22"/>
  <c r="D1609" i="22"/>
  <c r="D1606" i="22"/>
  <c r="D1605" i="22"/>
  <c r="D1602" i="22"/>
  <c r="D1601" i="22"/>
  <c r="D1598" i="22"/>
  <c r="D1597" i="22"/>
  <c r="D1594" i="22"/>
  <c r="D1593" i="22"/>
  <c r="D1684" i="22"/>
  <c r="D1676" i="22"/>
  <c r="D1674" i="22"/>
  <c r="D1668" i="22"/>
  <c r="D1667" i="22"/>
  <c r="D1666" i="22"/>
  <c r="D1761" i="22"/>
  <c r="D1753" i="22"/>
  <c r="D1751" i="22"/>
  <c r="D1744" i="22"/>
  <c r="D1778" i="22"/>
  <c r="D1839" i="22"/>
  <c r="D1836" i="22"/>
  <c r="D1835" i="22"/>
  <c r="D1832" i="22"/>
  <c r="D1831" i="22"/>
  <c r="D1828" i="22"/>
  <c r="D1827" i="22"/>
  <c r="D1824" i="22"/>
  <c r="D1823" i="22"/>
  <c r="D1820" i="22"/>
  <c r="D1819" i="22"/>
  <c r="D1816" i="22"/>
  <c r="D1815"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06" i="22"/>
  <c r="D167" i="22"/>
  <c r="D164" i="22"/>
  <c r="D156" i="22"/>
  <c r="D148" i="22"/>
  <c r="D182" i="22"/>
  <c r="D236" i="22"/>
  <c r="D228" i="22"/>
  <c r="D220" i="22"/>
  <c r="D281" i="22"/>
  <c r="D278" i="22"/>
  <c r="D277" i="22"/>
  <c r="D274" i="22"/>
  <c r="D273" i="22"/>
  <c r="D270" i="22"/>
  <c r="D269" i="22"/>
  <c r="D266" i="22"/>
  <c r="D265" i="22"/>
  <c r="D262" i="22"/>
  <c r="D261" i="22"/>
  <c r="D258" i="22"/>
  <c r="D317" i="22"/>
  <c r="D309" i="22"/>
  <c r="D301" i="22"/>
  <c r="D372" i="22"/>
  <c r="D464" i="22"/>
  <c r="D463" i="22"/>
  <c r="D461" i="22"/>
  <c r="D457" i="22"/>
  <c r="D453" i="22"/>
  <c r="D451" i="22"/>
  <c r="D494" i="22"/>
  <c r="D486" i="22"/>
  <c r="D544" i="22"/>
  <c r="D540" i="22"/>
  <c r="D536" i="22"/>
  <c r="D532" i="22"/>
  <c r="D563" i="22"/>
  <c r="D616" i="22"/>
  <c r="D608" i="22"/>
  <c r="D658" i="22"/>
  <c r="D650" i="22"/>
  <c r="D642" i="22"/>
  <c r="D696" i="22"/>
  <c r="D688" i="22"/>
  <c r="D680" i="22"/>
  <c r="D883" i="22"/>
  <c r="D875" i="22"/>
  <c r="D867" i="22"/>
  <c r="D1107"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513" i="22"/>
  <c r="D1550" i="22"/>
  <c r="D1608" i="22"/>
  <c r="D1604" i="22"/>
  <c r="D1600" i="22"/>
  <c r="D1596" i="22"/>
  <c r="D1592" i="22"/>
  <c r="D1681" i="22"/>
  <c r="D1673" i="22"/>
  <c r="D1665" i="22"/>
  <c r="D1725" i="22"/>
  <c r="D1722" i="22"/>
  <c r="D1721" i="22"/>
  <c r="D1718" i="22"/>
  <c r="D1717" i="22"/>
  <c r="D1714" i="22"/>
  <c r="D1713" i="22"/>
  <c r="D1710" i="22"/>
  <c r="D1706" i="22"/>
  <c r="D1702" i="22"/>
  <c r="D1760" i="22"/>
  <c r="D1752" i="22"/>
  <c r="D1741" i="22"/>
  <c r="D1793"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882" i="22"/>
  <c r="D874" i="22"/>
  <c r="D866" i="22"/>
  <c r="D924" i="22"/>
  <c r="D920" i="22"/>
  <c r="D916" i="22"/>
  <c r="D912" i="22"/>
  <c r="D908" i="22"/>
  <c r="D905" i="22"/>
  <c r="D996" i="22"/>
  <c r="D992" i="22"/>
  <c r="D984" i="22"/>
  <c r="D980" i="22"/>
  <c r="D1076" i="22"/>
  <c r="D1112" i="22"/>
  <c r="D1106" i="22"/>
  <c r="D1103" i="22"/>
  <c r="D1096" i="22"/>
  <c r="D1152" i="22"/>
  <c r="D1148" i="22"/>
  <c r="D1144" i="22"/>
  <c r="D1140" i="22"/>
  <c r="D1136" i="22"/>
  <c r="D1132" i="22"/>
  <c r="D1190" i="22"/>
  <c r="D1186" i="22"/>
  <c r="D1182" i="22"/>
  <c r="D1178" i="22"/>
  <c r="D1174" i="22"/>
  <c r="D1170" i="22"/>
  <c r="D1224" i="22"/>
  <c r="D1208" i="22"/>
  <c r="D1266" i="22"/>
  <c r="D1262" i="22"/>
  <c r="D1258" i="22"/>
  <c r="D1254" i="22"/>
  <c r="D1250" i="22"/>
  <c r="D1246" i="22"/>
  <c r="D1589" i="22"/>
  <c r="D1680" i="22"/>
  <c r="D1757" i="22"/>
  <c r="D1748" i="22"/>
  <c r="D1740"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66" i="18"/>
  <c r="D82" i="18"/>
  <c r="D1671" i="21"/>
  <c r="D1679" i="21"/>
  <c r="D1687" i="21"/>
  <c r="D32" i="5"/>
  <c r="D33" i="18"/>
  <c r="D41" i="18"/>
  <c r="D49" i="18"/>
  <c r="D105" i="18"/>
  <c r="D113" i="18"/>
  <c r="D114" i="18"/>
  <c r="D129" i="18"/>
  <c r="D145" i="18"/>
  <c r="D153" i="18"/>
  <c r="D161" i="18"/>
  <c r="D180" i="18"/>
  <c r="D188" i="18"/>
  <c r="D196" i="18"/>
  <c r="D148" i="18"/>
  <c r="D156" i="18"/>
  <c r="D164" i="18"/>
  <c r="D183" i="18"/>
  <c r="D191" i="18"/>
  <c r="D199" i="18"/>
  <c r="D200" i="18"/>
  <c r="D192" i="18"/>
  <c r="D203" i="18"/>
  <c r="D204" i="18"/>
  <c r="D29" i="18"/>
  <c r="D30" i="18"/>
  <c r="D118" i="18"/>
  <c r="D122" i="18"/>
  <c r="D126" i="18"/>
  <c r="D144"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53" i="22"/>
  <c r="D1852" i="22"/>
  <c r="D1865" i="22"/>
  <c r="D1864" i="22"/>
  <c r="D1857" i="22"/>
  <c r="D1856" i="22"/>
  <c r="D1777" i="22"/>
  <c r="D1776" i="22"/>
  <c r="D1800" i="22"/>
  <c r="D1799" i="22"/>
  <c r="D1796" i="22"/>
  <c r="D1795" i="22"/>
  <c r="D1747" i="22"/>
  <c r="D1746" i="22"/>
  <c r="D1739" i="22"/>
  <c r="D1738" i="22"/>
  <c r="D1763" i="22"/>
  <c r="D1762" i="22"/>
  <c r="D1755" i="22"/>
  <c r="D1754" i="22"/>
  <c r="D1724" i="22"/>
  <c r="D1723" i="22"/>
  <c r="D1720" i="22"/>
  <c r="D1719" i="22"/>
  <c r="D1716" i="22"/>
  <c r="D1715" i="22"/>
  <c r="D1712" i="22"/>
  <c r="D1711" i="22"/>
  <c r="D1708" i="22"/>
  <c r="D1707" i="22"/>
  <c r="D1704" i="22"/>
  <c r="D1703" i="22"/>
  <c r="D1700" i="22"/>
  <c r="D1709" i="22"/>
  <c r="D1705" i="22"/>
  <c r="D1701" i="22"/>
  <c r="D1662" i="22"/>
  <c r="D1679" i="22"/>
  <c r="D1678" i="22"/>
  <c r="D1671" i="22"/>
  <c r="D1670" i="22"/>
  <c r="D1663" i="22"/>
  <c r="D1686" i="22"/>
  <c r="D1685" i="22"/>
  <c r="D1649" i="22"/>
  <c r="D1645" i="22"/>
  <c r="D1641" i="22"/>
  <c r="D1637" i="22"/>
  <c r="D1633" i="22"/>
  <c r="D1629" i="22"/>
  <c r="D1625" i="22"/>
  <c r="D1624" i="22"/>
  <c r="D1587" i="22"/>
  <c r="D1586" i="22"/>
  <c r="D1611" i="22"/>
  <c r="D1607" i="22"/>
  <c r="D1603" i="22"/>
  <c r="D1599" i="22"/>
  <c r="D1595" i="22"/>
  <c r="D1591" i="22"/>
  <c r="D1590" i="22"/>
  <c r="D1572" i="22"/>
  <c r="D1571" i="22"/>
  <c r="D1568" i="22"/>
  <c r="D1567" i="22"/>
  <c r="D1564" i="22"/>
  <c r="D1563" i="22"/>
  <c r="D1560" i="22"/>
  <c r="D1559" i="22"/>
  <c r="D1549" i="22"/>
  <c r="D1548" i="22"/>
  <c r="D1573" i="22"/>
  <c r="D1569" i="22"/>
  <c r="D1565" i="22"/>
  <c r="D1561" i="22"/>
  <c r="D1557" i="22"/>
  <c r="D1556" i="22"/>
  <c r="D1534" i="22"/>
  <c r="D1533" i="22"/>
  <c r="D1530" i="22"/>
  <c r="D1529" i="22"/>
  <c r="D1526" i="22"/>
  <c r="D1525" i="22"/>
  <c r="D1522" i="22"/>
  <c r="D1521" i="22"/>
  <c r="D1518" i="22"/>
  <c r="D1511" i="22"/>
  <c r="D1510" i="22"/>
  <c r="D1535" i="22"/>
  <c r="D1531" i="22"/>
  <c r="D1527" i="22"/>
  <c r="D1523" i="22"/>
  <c r="D1519" i="22"/>
  <c r="D1497" i="22"/>
  <c r="D1496" i="22"/>
  <c r="D1489" i="22"/>
  <c r="D1488" i="22"/>
  <c r="D1481" i="22"/>
  <c r="D1480" i="22"/>
  <c r="D1479" i="22"/>
  <c r="D1476" i="22"/>
  <c r="D1475" i="22"/>
  <c r="D1472" i="22"/>
  <c r="D1477" i="22"/>
  <c r="D1473" i="22"/>
  <c r="D1485" i="22"/>
  <c r="D1484" i="22"/>
  <c r="D1435" i="22"/>
  <c r="D1434" i="22"/>
  <c r="D1459" i="22"/>
  <c r="D1455" i="22"/>
  <c r="D1451" i="22"/>
  <c r="D1447" i="22"/>
  <c r="D1443" i="22"/>
  <c r="D1438" i="22"/>
  <c r="D1417" i="22"/>
  <c r="D1409" i="22"/>
  <c r="D1404" i="22"/>
  <c r="D1400" i="22"/>
  <c r="D1396" i="22"/>
  <c r="D1421" i="22"/>
  <c r="D1413" i="22"/>
  <c r="D1359" i="22"/>
  <c r="D1382" i="22"/>
  <c r="D1378" i="22"/>
  <c r="D1374" i="22"/>
  <c r="D1370" i="22"/>
  <c r="D1366" i="22"/>
  <c r="D1344" i="22"/>
  <c r="D1343" i="22"/>
  <c r="D1340" i="22"/>
  <c r="D1337" i="22"/>
  <c r="D1333" i="22"/>
  <c r="D1329" i="22"/>
  <c r="D1325" i="22"/>
  <c r="D1321" i="22"/>
  <c r="D1291" i="22"/>
  <c r="D1290" i="22"/>
  <c r="D1283" i="22"/>
  <c r="D1282" i="22"/>
  <c r="D1306" i="22"/>
  <c r="D1305" i="22"/>
  <c r="D1302" i="22"/>
  <c r="D1301" i="22"/>
  <c r="D1298" i="22"/>
  <c r="D1297" i="22"/>
  <c r="D1268" i="22"/>
  <c r="D1267" i="22"/>
  <c r="D1264" i="22"/>
  <c r="D1263" i="22"/>
  <c r="D1260" i="22"/>
  <c r="D1259" i="22"/>
  <c r="D1256" i="22"/>
  <c r="D1255" i="22"/>
  <c r="D1252" i="22"/>
  <c r="D1251" i="22"/>
  <c r="D1248" i="22"/>
  <c r="D1247" i="22"/>
  <c r="D1244" i="22"/>
  <c r="D1231" i="22"/>
  <c r="D1230" i="22"/>
  <c r="D1222" i="22"/>
  <c r="D1207" i="22"/>
  <c r="D1206" i="22"/>
  <c r="D1218" i="22"/>
  <c r="D1217" i="22"/>
  <c r="D1214" i="22"/>
  <c r="D1213" i="22"/>
  <c r="D1227" i="22"/>
  <c r="D1226" i="22"/>
  <c r="D1219" i="22"/>
  <c r="D1215" i="22"/>
  <c r="D1210" i="22"/>
  <c r="D1193" i="22"/>
  <c r="D1189" i="22"/>
  <c r="D1185" i="22"/>
  <c r="D1181" i="22"/>
  <c r="D1177" i="22"/>
  <c r="D1173" i="22"/>
  <c r="D1169" i="22"/>
  <c r="D1155" i="22"/>
  <c r="D1151" i="22"/>
  <c r="D1147" i="22"/>
  <c r="D1143" i="22"/>
  <c r="D1139" i="22"/>
  <c r="D1135" i="22"/>
  <c r="D1131" i="22"/>
  <c r="D1109" i="22"/>
  <c r="D1093" i="22"/>
  <c r="D1105" i="22"/>
  <c r="D1101" i="22"/>
  <c r="D1063" i="22"/>
  <c r="D1061" i="22"/>
  <c r="D1059" i="22"/>
  <c r="D1057" i="22"/>
  <c r="D1055" i="22"/>
  <c r="D1078" i="22"/>
  <c r="D1074" i="22"/>
  <c r="D1079" i="22"/>
  <c r="D1077" i="22"/>
  <c r="D1075" i="22"/>
  <c r="D1073" i="22"/>
  <c r="D1070" i="22"/>
  <c r="D1066" i="22"/>
  <c r="D1041" i="22"/>
  <c r="D1037" i="22"/>
  <c r="D1033" i="22"/>
  <c r="D1029" i="22"/>
  <c r="D1025" i="22"/>
  <c r="D1021" i="22"/>
  <c r="D1016" i="22"/>
  <c r="D987" i="22"/>
  <c r="D986" i="22"/>
  <c r="D995" i="22"/>
  <c r="D991" i="22"/>
  <c r="D990" i="22"/>
  <c r="D983" i="22"/>
  <c r="D979" i="22"/>
  <c r="D965" i="22"/>
  <c r="D961" i="22"/>
  <c r="D957" i="22"/>
  <c r="D953" i="22"/>
  <c r="D949" i="22"/>
  <c r="D945" i="22"/>
  <c r="D941" i="22"/>
  <c r="D940" i="22"/>
  <c r="D903" i="22"/>
  <c r="D902" i="22"/>
  <c r="D889" i="22"/>
  <c r="D888" i="22"/>
  <c r="D881" i="22"/>
  <c r="D880" i="22"/>
  <c r="D873" i="22"/>
  <c r="D872" i="22"/>
  <c r="D865" i="22"/>
  <c r="D864" i="22"/>
  <c r="D850" i="22"/>
  <c r="D849" i="22"/>
  <c r="D846" i="22"/>
  <c r="D845" i="22"/>
  <c r="D842" i="22"/>
  <c r="D841" i="22"/>
  <c r="D838" i="22"/>
  <c r="D837" i="22"/>
  <c r="D834" i="22"/>
  <c r="D833" i="22"/>
  <c r="D830" i="22"/>
  <c r="D829" i="22"/>
  <c r="D826" i="22"/>
  <c r="D808" i="22"/>
  <c r="D797" i="22"/>
  <c r="D796" i="22"/>
  <c r="D789" i="22"/>
  <c r="D788" i="22"/>
  <c r="D804" i="22"/>
  <c r="D803" i="22"/>
  <c r="D774" i="22"/>
  <c r="D773" i="22"/>
  <c r="D763" i="22"/>
  <c r="D759" i="22"/>
  <c r="D755" i="22"/>
  <c r="D751" i="22"/>
  <c r="D750" i="22"/>
  <c r="D775" i="22"/>
  <c r="D770" i="22"/>
  <c r="D737" i="22"/>
  <c r="D736" i="22"/>
  <c r="D729" i="22"/>
  <c r="D728" i="22"/>
  <c r="D721" i="22"/>
  <c r="D720" i="22"/>
  <c r="D713" i="22"/>
  <c r="D712" i="22"/>
  <c r="D699" i="22"/>
  <c r="D698" i="22"/>
  <c r="D691" i="22"/>
  <c r="D690" i="22"/>
  <c r="D683" i="22"/>
  <c r="D682" i="22"/>
  <c r="D675" i="22"/>
  <c r="D674" i="22"/>
  <c r="D695" i="22"/>
  <c r="D694" i="22"/>
  <c r="D687" i="22"/>
  <c r="D686" i="22"/>
  <c r="D679" i="22"/>
  <c r="D678" i="22"/>
  <c r="D661" i="22"/>
  <c r="D660" i="22"/>
  <c r="D653" i="22"/>
  <c r="D652" i="22"/>
  <c r="D645" i="22"/>
  <c r="D644" i="22"/>
  <c r="D637" i="22"/>
  <c r="D636" i="22"/>
  <c r="D619" i="22"/>
  <c r="D618" i="22"/>
  <c r="D611" i="22"/>
  <c r="D610" i="22"/>
  <c r="D603" i="22"/>
  <c r="D602" i="22"/>
  <c r="D601" i="22"/>
  <c r="D598" i="22"/>
  <c r="D599" i="22"/>
  <c r="D623" i="22"/>
  <c r="D622" i="22"/>
  <c r="D615" i="22"/>
  <c r="D614" i="22"/>
  <c r="D607" i="22"/>
  <c r="D606" i="22"/>
  <c r="D560" i="22"/>
  <c r="D584" i="22"/>
  <c r="D583" i="22"/>
  <c r="D580" i="22"/>
  <c r="D579" i="22"/>
  <c r="D576" i="22"/>
  <c r="D575" i="22"/>
  <c r="D572" i="22"/>
  <c r="D571" i="22"/>
  <c r="D568" i="22"/>
  <c r="D567" i="22"/>
  <c r="D546" i="22"/>
  <c r="D545" i="22"/>
  <c r="D542" i="22"/>
  <c r="D541" i="22"/>
  <c r="D538" i="22"/>
  <c r="D537" i="22"/>
  <c r="D534" i="22"/>
  <c r="D533" i="22"/>
  <c r="D523" i="22"/>
  <c r="D522" i="22"/>
  <c r="D547" i="22"/>
  <c r="D543" i="22"/>
  <c r="D539" i="22"/>
  <c r="D535" i="22"/>
  <c r="D530" i="22"/>
  <c r="D529" i="22"/>
  <c r="D526" i="22"/>
  <c r="D493" i="22"/>
  <c r="D492" i="22"/>
  <c r="D485" i="22"/>
  <c r="D484" i="22"/>
  <c r="D508" i="22"/>
  <c r="D507" i="22"/>
  <c r="D504" i="22"/>
  <c r="D503" i="22"/>
  <c r="D500" i="22"/>
  <c r="D499" i="22"/>
  <c r="D462" i="22"/>
  <c r="D447" i="22"/>
  <c r="D446" i="22"/>
  <c r="D433" i="22"/>
  <c r="D429" i="22"/>
  <c r="D425" i="22"/>
  <c r="D421" i="22"/>
  <c r="D417" i="22"/>
  <c r="D413" i="22"/>
  <c r="D409" i="22"/>
  <c r="D371" i="22"/>
  <c r="D370" i="22"/>
  <c r="D356" i="22"/>
  <c r="D355" i="22"/>
  <c r="D352" i="22"/>
  <c r="D351" i="22"/>
  <c r="D348" i="22"/>
  <c r="D347" i="22"/>
  <c r="D344" i="22"/>
  <c r="D343" i="22"/>
  <c r="D340" i="22"/>
  <c r="D339" i="22"/>
  <c r="D336" i="22"/>
  <c r="D335" i="22"/>
  <c r="D332" i="22"/>
  <c r="D319" i="22"/>
  <c r="D318" i="22"/>
  <c r="D311" i="22"/>
  <c r="D310" i="22"/>
  <c r="D303" i="22"/>
  <c r="D302" i="22"/>
  <c r="D295" i="22"/>
  <c r="D294" i="22"/>
  <c r="D315" i="22"/>
  <c r="D314" i="22"/>
  <c r="D307" i="22"/>
  <c r="D306" i="22"/>
  <c r="D299" i="22"/>
  <c r="D298" i="22"/>
  <c r="D280" i="22"/>
  <c r="D279" i="22"/>
  <c r="D276" i="22"/>
  <c r="D275" i="22"/>
  <c r="D272" i="22"/>
  <c r="D271" i="22"/>
  <c r="D268" i="22"/>
  <c r="D267" i="22"/>
  <c r="D264" i="22"/>
  <c r="D263" i="22"/>
  <c r="D260" i="22"/>
  <c r="D259" i="22"/>
  <c r="D256" i="22"/>
  <c r="D257" i="22"/>
  <c r="D243" i="22"/>
  <c r="D242" i="22"/>
  <c r="D235" i="22"/>
  <c r="D234" i="22"/>
  <c r="D227" i="22"/>
  <c r="D226" i="22"/>
  <c r="D219" i="22"/>
  <c r="D218" i="22"/>
  <c r="D181" i="22"/>
  <c r="D180" i="22"/>
  <c r="D205" i="22"/>
  <c r="D201" i="22"/>
  <c r="D197" i="22"/>
  <c r="D193" i="22"/>
  <c r="D189" i="22"/>
  <c r="D185" i="22"/>
  <c r="D184" i="22"/>
  <c r="D159" i="22"/>
  <c r="D158" i="22"/>
  <c r="D151" i="22"/>
  <c r="D150" i="22"/>
  <c r="D143" i="22"/>
  <c r="D142" i="22"/>
  <c r="D166" i="22"/>
  <c r="D165" i="22"/>
  <c r="D128" i="22"/>
  <c r="D127" i="22"/>
  <c r="D117" i="22"/>
  <c r="D116" i="22"/>
  <c r="D105" i="22"/>
  <c r="D104" i="22"/>
  <c r="D129" i="22"/>
  <c r="D124" i="22"/>
  <c r="D123" i="22"/>
  <c r="D112" i="22"/>
  <c r="D87" i="22"/>
  <c r="D86" i="22"/>
  <c r="D79" i="22"/>
  <c r="D78" i="22"/>
  <c r="D74" i="22"/>
  <c r="D73" i="22"/>
  <c r="D70" i="22"/>
  <c r="D69" i="22"/>
  <c r="D66" i="22"/>
  <c r="D37" i="22"/>
  <c r="D36" i="22"/>
  <c r="D29" i="22"/>
  <c r="D28" i="22"/>
  <c r="D52" i="22"/>
  <c r="D51" i="22"/>
  <c r="D48" i="22"/>
  <c r="D47" i="22"/>
  <c r="D44" i="22"/>
  <c r="D43" i="22"/>
  <c r="D729" i="14"/>
  <c r="D728" i="14"/>
  <c r="D721" i="14"/>
  <c r="D720" i="14"/>
  <c r="D713" i="14"/>
  <c r="D712"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36" i="14"/>
  <c r="D623" i="14"/>
  <c r="D622" i="14"/>
  <c r="D615" i="14"/>
  <c r="D614" i="14"/>
  <c r="D607" i="14"/>
  <c r="D606" i="14"/>
  <c r="D599" i="14"/>
  <c r="D598" i="14"/>
  <c r="D585" i="14"/>
  <c r="D581" i="14"/>
  <c r="D577" i="14"/>
  <c r="D573" i="14"/>
  <c r="D569" i="14"/>
  <c r="D565" i="14"/>
  <c r="D561" i="14"/>
  <c r="D560" i="14"/>
  <c r="D547" i="14"/>
  <c r="D546" i="14"/>
  <c r="D539" i="14"/>
  <c r="D538" i="14"/>
  <c r="D531" i="14"/>
  <c r="D530" i="14"/>
  <c r="D523" i="14"/>
  <c r="D522" i="14"/>
  <c r="D485" i="14"/>
  <c r="D484" i="14"/>
  <c r="D508" i="14"/>
  <c r="D507" i="14"/>
  <c r="D504" i="14"/>
  <c r="D503" i="14"/>
  <c r="D500" i="14"/>
  <c r="D499" i="14"/>
  <c r="D496" i="14"/>
  <c r="D495" i="14"/>
  <c r="D492" i="14"/>
  <c r="D491" i="14"/>
  <c r="D488" i="14"/>
  <c r="D471" i="14"/>
  <c r="D470" i="14"/>
  <c r="D463" i="14"/>
  <c r="D462" i="14"/>
  <c r="D455" i="14"/>
  <c r="D454" i="14"/>
  <c r="D447" i="14"/>
  <c r="D446" i="14"/>
  <c r="D467" i="14"/>
  <c r="D466" i="14"/>
  <c r="D459" i="14"/>
  <c r="D458" i="14"/>
  <c r="D451" i="14"/>
  <c r="D450" i="14"/>
  <c r="D433" i="14"/>
  <c r="D429" i="14"/>
  <c r="D425" i="14"/>
  <c r="D421" i="14"/>
  <c r="D417" i="14"/>
  <c r="D412" i="14"/>
  <c r="D411" i="14"/>
  <c r="D409" i="14"/>
  <c r="D408" i="14"/>
  <c r="D395" i="14"/>
  <c r="D390" i="14"/>
  <c r="D389" i="14"/>
  <c r="D375" i="14"/>
  <c r="D374" i="14"/>
  <c r="D373" i="14"/>
  <c r="D370" i="14"/>
  <c r="D387" i="14"/>
  <c r="D386" i="14"/>
  <c r="D371" i="14"/>
  <c r="D378" i="14"/>
  <c r="D356" i="14"/>
  <c r="D355" i="14"/>
  <c r="D352" i="14"/>
  <c r="D351" i="14"/>
  <c r="D348" i="14"/>
  <c r="D347" i="14"/>
  <c r="D344" i="14"/>
  <c r="D343" i="14"/>
  <c r="D340" i="14"/>
  <c r="D339" i="14"/>
  <c r="D336" i="14"/>
  <c r="D335" i="14"/>
  <c r="D332" i="14"/>
  <c r="D318" i="14"/>
  <c r="D317" i="14"/>
  <c r="D314" i="14"/>
  <c r="D313" i="14"/>
  <c r="D310" i="14"/>
  <c r="D309" i="14"/>
  <c r="D306" i="14"/>
  <c r="D305" i="14"/>
  <c r="D302" i="14"/>
  <c r="D301" i="14"/>
  <c r="D298" i="14"/>
  <c r="D297" i="14"/>
  <c r="D294" i="14"/>
  <c r="D281" i="14"/>
  <c r="D280" i="14"/>
  <c r="D273" i="14"/>
  <c r="D272" i="14"/>
  <c r="D265" i="14"/>
  <c r="D264" i="14"/>
  <c r="D257" i="14"/>
  <c r="D256" i="14"/>
  <c r="D277" i="14"/>
  <c r="D276" i="14"/>
  <c r="D269" i="14"/>
  <c r="D268" i="14"/>
  <c r="D261" i="14"/>
  <c r="D260" i="14"/>
  <c r="D242" i="14"/>
  <c r="D241" i="14"/>
  <c r="D238" i="14"/>
  <c r="D237" i="14"/>
  <c r="D227" i="14"/>
  <c r="D226" i="14"/>
  <c r="D219" i="14"/>
  <c r="D218" i="14"/>
  <c r="D230" i="14"/>
  <c r="D223" i="14"/>
  <c r="D222" i="14"/>
  <c r="D205" i="14"/>
  <c r="D204" i="14"/>
  <c r="D197" i="14"/>
  <c r="D196" i="14"/>
  <c r="D189" i="14"/>
  <c r="D188" i="14"/>
  <c r="D181" i="14"/>
  <c r="D180" i="14"/>
  <c r="D166" i="14"/>
  <c r="D162" i="14"/>
  <c r="D158" i="14"/>
  <c r="D154" i="14"/>
  <c r="D150" i="14"/>
  <c r="D146" i="14"/>
  <c r="D142" i="14"/>
  <c r="D129" i="14"/>
  <c r="D125" i="14"/>
  <c r="D121" i="14"/>
  <c r="D117" i="14"/>
  <c r="D113" i="14"/>
  <c r="D109" i="14"/>
  <c r="D104" i="14"/>
  <c r="D90" i="14"/>
  <c r="D89" i="14"/>
  <c r="D86" i="14"/>
  <c r="D85" i="14"/>
  <c r="D82" i="14"/>
  <c r="D81" i="14"/>
  <c r="D78" i="14"/>
  <c r="D77" i="14"/>
  <c r="D74" i="14"/>
  <c r="D73" i="14"/>
  <c r="D70" i="14"/>
  <c r="D69" i="14"/>
  <c r="D66" i="14"/>
  <c r="D29" i="14"/>
  <c r="D28"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2" i="15"/>
  <c r="E703" i="14"/>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BS28" i="9" a="1"/>
  <c r="N28" i="9" a="1"/>
  <c r="CI27" i="9" a="1"/>
  <c r="BS25" i="9" a="1"/>
  <c r="K96" i="5"/>
  <c r="BU23" i="9" a="1"/>
  <c r="G21" i="9" a="1"/>
  <c r="BO22" i="9" a="1"/>
  <c r="AV25" i="9" a="1"/>
  <c r="BU20" i="9" a="1"/>
  <c r="AU23" i="9" a="1"/>
  <c r="AA21" i="9" a="1"/>
  <c r="K514" i="14"/>
  <c r="BG20" i="9" a="1"/>
  <c r="AE28" i="9" a="1"/>
  <c r="CA27" i="9" a="1"/>
  <c r="N27" i="9" a="1"/>
  <c r="BW23" i="9" a="1"/>
  <c r="E26" i="9" a="1"/>
  <c r="I21" i="9" a="1"/>
  <c r="F25" i="9" a="1"/>
  <c r="K932" i="22"/>
  <c r="AE23" i="9" a="1"/>
  <c r="CI26" i="9" a="1"/>
  <c r="AF21" i="9" a="1"/>
  <c r="M25" i="9" a="1"/>
  <c r="AP20" i="9" a="1"/>
  <c r="X23" i="9" a="1"/>
  <c r="AH26" i="9" a="1"/>
  <c r="BK20" i="9" a="1"/>
  <c r="CP28" i="9" a="1"/>
  <c r="AD27" i="9" a="1"/>
  <c r="CJ27" i="9" a="1"/>
  <c r="AK21" i="9" a="1"/>
  <c r="J25" i="9" a="1"/>
  <c r="U20" i="9" a="1"/>
  <c r="G23" i="9" a="1"/>
  <c r="AC26" i="9" a="1"/>
  <c r="AF28" i="9" a="1"/>
  <c r="CE28" i="9" a="1"/>
  <c r="CK27" i="9" a="1"/>
  <c r="CM25" i="9" a="1"/>
  <c r="Q20" i="9" a="1"/>
  <c r="BQ24" i="9" a="1"/>
  <c r="AG24" i="9" a="1"/>
  <c r="CR22" i="9" a="1"/>
  <c r="BQ25" i="9" a="1"/>
  <c r="K628" i="14"/>
  <c r="BF23" i="9" a="1"/>
  <c r="Q24" i="9" a="1"/>
  <c r="L22" i="9" a="1"/>
  <c r="CF25" i="9" a="1"/>
  <c r="K362" i="14"/>
  <c r="CB23" i="9" a="1"/>
  <c r="AH28" i="9" a="1"/>
  <c r="AR28" i="9" a="1"/>
  <c r="AW27" i="9" a="1"/>
  <c r="AY24" i="9" a="1"/>
  <c r="BQ20" i="9" a="1"/>
  <c r="AH23" i="9" a="1"/>
  <c r="K476" i="14"/>
  <c r="CL21" i="9" a="1"/>
  <c r="CG25" i="9" a="1"/>
  <c r="K704" i="22"/>
  <c r="AC23" i="9" a="1"/>
  <c r="AG26" i="9" a="1"/>
  <c r="AD21" i="9" a="1"/>
  <c r="M24" i="9" a="1"/>
  <c r="K58" i="15"/>
  <c r="CC28" i="9" a="1"/>
  <c r="Y27" i="9" a="1"/>
  <c r="AK26" i="9" a="1"/>
  <c r="BU21" i="9" a="1"/>
  <c r="AN25" i="9" a="1"/>
  <c r="N20" i="9" a="1"/>
  <c r="CF23" i="9" a="1"/>
  <c r="K20" i="14"/>
  <c r="AC21" i="9" a="1"/>
  <c r="AI25" i="9" a="1"/>
  <c r="M20" i="9" a="1"/>
  <c r="CE23" i="9" a="1"/>
  <c r="CO26" i="9" a="1"/>
  <c r="CO21" i="9" a="1"/>
  <c r="CJ23" i="9" a="1"/>
  <c r="H28" i="9" a="1"/>
  <c r="AH27" i="9" a="1"/>
  <c r="BL27" i="9" a="1"/>
  <c r="BL22" i="9" a="1"/>
  <c r="CF26" i="9" a="1"/>
  <c r="K20" i="22"/>
  <c r="CF28" i="9" a="1"/>
  <c r="O28" i="9" a="1"/>
  <c r="P27" i="9" a="1"/>
  <c r="AS24" i="9" a="1"/>
  <c r="T20" i="9" a="1"/>
  <c r="BG22" i="9" a="1"/>
  <c r="BU26" i="9" a="1"/>
  <c r="AP21" i="9" a="1"/>
  <c r="CK24" i="9" a="1"/>
  <c r="K172" i="14"/>
  <c r="I22" i="9" a="1"/>
  <c r="CN26" i="9" a="1"/>
  <c r="AA25" i="9" a="1"/>
  <c r="K1502" i="22"/>
  <c r="CL28" i="9" a="1"/>
  <c r="AC27" i="9" a="1"/>
  <c r="BH27" i="9" a="1"/>
  <c r="X22" i="9" a="1"/>
  <c r="AO26" i="9" a="1"/>
  <c r="K1084" i="22"/>
  <c r="AL24" i="9" a="1"/>
  <c r="BQ26" i="9" a="1"/>
  <c r="BH22" i="9" a="1"/>
  <c r="AW26" i="9" a="1"/>
  <c r="K210" i="14"/>
  <c r="BX24" i="9" a="1"/>
  <c r="K25" i="9" a="1"/>
  <c r="BF22" i="9" a="1"/>
  <c r="P25" i="9" a="1"/>
  <c r="I20" i="9" a="1"/>
  <c r="CD28" i="9" a="1"/>
  <c r="CO27" i="9" a="1"/>
  <c r="Y26" i="9" a="1"/>
  <c r="K1768" i="22"/>
  <c r="AR24" i="9" a="1"/>
  <c r="K1464" i="22"/>
  <c r="CP23" i="9" a="1"/>
  <c r="BL25" i="9" a="1"/>
  <c r="BN28" i="9" a="1"/>
  <c r="M28" i="9" a="1"/>
  <c r="CC27" i="9" a="1"/>
  <c r="AE25" i="9" a="1"/>
  <c r="K134" i="5"/>
  <c r="AG23" i="9" a="1"/>
  <c r="CC20" i="9" a="1"/>
  <c r="BX21" i="9" a="1"/>
  <c r="BO25" i="9" a="1"/>
  <c r="BY20" i="9" a="1"/>
  <c r="BH23" i="9" a="1"/>
  <c r="V26" i="9" a="1"/>
  <c r="CN21" i="9" a="1"/>
  <c r="BU24" i="9" a="1"/>
  <c r="F20" i="9" a="1"/>
  <c r="AC22" i="9" a="1"/>
  <c r="BO28" i="9" a="1"/>
  <c r="AN28" i="9" a="1"/>
  <c r="CD27" i="9" a="1"/>
  <c r="BD24" i="9" a="1"/>
  <c r="AZ25" i="9" a="1"/>
  <c r="F22" i="9" a="1"/>
  <c r="AZ26" i="9" a="1"/>
  <c r="K514" i="22"/>
  <c r="AO24" i="9" a="1"/>
  <c r="BS26" i="9" a="1"/>
  <c r="BI22" i="9" a="1"/>
  <c r="BK26" i="9" a="1"/>
  <c r="AE20" i="9" a="1"/>
  <c r="E23" i="9" a="1"/>
  <c r="BW28" i="9" a="1"/>
  <c r="BD28" i="9" a="1"/>
  <c r="BF27" i="9" a="1"/>
  <c r="G26" i="9" a="1"/>
  <c r="K96" i="13"/>
  <c r="BT24" i="9" a="1"/>
  <c r="BN20" i="9" a="1"/>
  <c r="BT22" i="9" a="1"/>
  <c r="BG26" i="9" a="1"/>
  <c r="AD20" i="9" a="1"/>
  <c r="BO24" i="9" a="1"/>
  <c r="BV26" i="9" a="1"/>
  <c r="BV22" i="9" a="1"/>
  <c r="AJ26" i="9" a="1"/>
  <c r="CM20" i="9" a="1"/>
  <c r="AS21" i="9" a="1"/>
  <c r="CI28" i="9" a="1"/>
  <c r="G27" i="9" a="1"/>
  <c r="AK27" i="9" a="1"/>
  <c r="G22" i="9" a="1"/>
  <c r="CJ25" i="9" a="1"/>
  <c r="BB20" i="9" a="1"/>
  <c r="AD28" i="9" a="1"/>
  <c r="BE28" i="9" a="1"/>
  <c r="AS27" i="9" a="1"/>
  <c r="U23" i="9" a="1"/>
  <c r="F23" i="9" a="1"/>
  <c r="P22" i="9" a="1"/>
  <c r="BW26" i="9" a="1"/>
  <c r="K1008" i="22"/>
  <c r="AX24" i="9" a="1"/>
  <c r="CJ24" i="9" a="1"/>
  <c r="O22" i="9" a="1"/>
  <c r="CQ25" i="9" a="1"/>
  <c r="H21" i="9" a="1"/>
  <c r="AJ23" i="9" a="1"/>
  <c r="BL28" i="9" a="1"/>
  <c r="BJ27" i="9" a="1"/>
  <c r="BD27" i="9" a="1"/>
  <c r="AG21" i="9" a="1"/>
  <c r="CA25" i="9" a="1"/>
  <c r="CJ20" i="9" a="1"/>
  <c r="E24" i="9" a="1"/>
  <c r="AM22" i="9" a="1"/>
  <c r="R21" i="9" a="1"/>
  <c r="AW25" i="9" a="1"/>
  <c r="CD20" i="9" a="1"/>
  <c r="BL23" i="9" a="1"/>
  <c r="K20" i="15"/>
  <c r="AN21" i="9" a="1"/>
  <c r="X24" i="9" a="1"/>
  <c r="F28" i="9" a="1"/>
  <c r="I28" i="9" a="1"/>
  <c r="BO27" i="9" a="1"/>
  <c r="AB25" i="9" a="1"/>
  <c r="CI20" i="9" a="1"/>
  <c r="W24" i="9" a="1"/>
  <c r="AP24" i="9" a="1"/>
  <c r="AI22" i="9" a="1"/>
  <c r="AG25" i="9" a="1"/>
  <c r="CG28" i="9" a="1"/>
  <c r="J28" i="9" a="1"/>
  <c r="L27" i="9" a="1"/>
  <c r="BK24" i="9" a="1"/>
  <c r="BY26" i="9" a="1"/>
  <c r="AG22" i="9" a="1"/>
  <c r="BF26" i="9" a="1"/>
  <c r="CM21" i="9" a="1"/>
  <c r="AK24" i="9" a="1"/>
  <c r="I26" i="9" a="1"/>
  <c r="AB22" i="9" a="1"/>
  <c r="Q26" i="9" a="1"/>
  <c r="K742" i="22"/>
  <c r="CI24" i="9" a="1"/>
  <c r="K286" i="14"/>
  <c r="X21" i="9" a="1"/>
  <c r="BX28" i="9" a="1"/>
  <c r="BM27" i="9" a="1"/>
  <c r="H27" i="9" a="1"/>
  <c r="N23" i="9" a="1"/>
  <c r="BH21" i="9" a="1"/>
  <c r="P21" i="9" a="1"/>
  <c r="BC25" i="9" a="1"/>
  <c r="V20" i="9" a="1"/>
  <c r="CD23" i="9" a="1"/>
  <c r="BS22" i="9" a="1"/>
  <c r="K21" i="9" a="1"/>
  <c r="BW25" i="9" a="1"/>
  <c r="K704" i="14"/>
  <c r="AK22" i="9" a="1"/>
  <c r="CO28" i="9" a="1"/>
  <c r="S28" i="9" a="1"/>
  <c r="BC27" i="9" a="1"/>
  <c r="T25" i="9" a="1"/>
  <c r="K1350" i="22"/>
  <c r="V23" i="9" a="1"/>
  <c r="AN23" i="9" a="1"/>
  <c r="CE22" i="9" a="1"/>
  <c r="BD25" i="9" a="1"/>
  <c r="K400" i="22"/>
  <c r="Q23" i="9" a="1"/>
  <c r="CQ22" i="9" a="1"/>
  <c r="BR21" i="9" a="1"/>
  <c r="AQ25" i="9" a="1"/>
  <c r="K1426" i="22"/>
  <c r="K210" i="15"/>
  <c r="Q28" i="9" a="1"/>
  <c r="BW27" i="9" a="1"/>
  <c r="J26" i="9" a="1"/>
  <c r="BY21" i="9" a="1"/>
  <c r="U25" i="9" a="1"/>
  <c r="K58" i="5"/>
  <c r="BK28" i="9" a="1"/>
  <c r="AV27" i="9" a="1"/>
  <c r="AT27" i="9" a="1"/>
  <c r="BN23" i="9" a="1"/>
  <c r="K590" i="22"/>
  <c r="AJ21" i="9" a="1"/>
  <c r="CB25" i="9" a="1"/>
  <c r="AZ20" i="9" a="1"/>
  <c r="AV23" i="9" a="1"/>
  <c r="AF20" i="9" a="1"/>
  <c r="AE21" i="9" a="1"/>
  <c r="AJ25" i="9" a="1"/>
  <c r="CL26" i="9" a="1"/>
  <c r="K1388" i="22"/>
  <c r="W28" i="9" a="1"/>
  <c r="BK27" i="9" a="1"/>
  <c r="F26" i="9" a="1"/>
  <c r="S21" i="9" a="1"/>
  <c r="BI24" i="9" a="1"/>
  <c r="CO20" i="9" a="1"/>
  <c r="CR23" i="9" a="1"/>
  <c r="AQ26" i="9" a="1"/>
  <c r="W21" i="9" a="1"/>
  <c r="AU24" i="9" a="1"/>
  <c r="K210" i="5"/>
  <c r="AH22" i="9" a="1"/>
  <c r="AA26" i="9" a="1"/>
  <c r="K894" i="22"/>
  <c r="R24" i="9" a="1"/>
  <c r="G28" i="9" a="1"/>
  <c r="BY28" i="9" a="1"/>
  <c r="V27" i="9" a="1"/>
  <c r="CH25" i="9" a="1"/>
  <c r="K1654" i="22"/>
  <c r="CN23" i="9" a="1"/>
  <c r="BF20" i="9" a="1"/>
  <c r="BW21" i="9" a="1"/>
  <c r="G24" i="9" a="1"/>
  <c r="AS28" i="9" a="1"/>
  <c r="F27" i="9" a="1"/>
  <c r="BT27" i="9" a="1"/>
  <c r="M23" i="9" a="1"/>
  <c r="J21" i="9" a="1"/>
  <c r="BA21" i="9" a="1"/>
  <c r="AL25" i="9" a="1"/>
  <c r="K476" i="22"/>
  <c r="AW23" i="9" a="1"/>
  <c r="BD22" i="9" a="1"/>
  <c r="AO21" i="9" a="1"/>
  <c r="BZ25" i="9" a="1"/>
  <c r="AX20" i="9" a="1"/>
  <c r="L23" i="9" a="1"/>
  <c r="R20" i="9" a="1"/>
  <c r="AY20" i="9" a="1"/>
  <c r="Z28" i="9" a="1"/>
  <c r="CG27" i="9" a="1"/>
  <c r="I27" i="9" a="1"/>
  <c r="AD22" i="9" a="1"/>
  <c r="CP26" i="9" a="1"/>
  <c r="V21" i="9" a="1"/>
  <c r="AX25" i="9" a="1"/>
  <c r="K970" i="22"/>
  <c r="AR23" i="9" a="1"/>
  <c r="CK26" i="9" a="1"/>
  <c r="BD21" i="9" a="1"/>
  <c r="BA24" i="9" a="1"/>
  <c r="AB23" i="9" a="1"/>
  <c r="AP22" i="9" a="1"/>
  <c r="CK28" i="9" a="1"/>
  <c r="BM28" i="9" a="1"/>
  <c r="Q27" i="9" a="1"/>
  <c r="AF24" i="9" a="1"/>
  <c r="BI20" i="9" a="1"/>
  <c r="K23" i="9" a="1"/>
  <c r="AN20" i="9" a="1"/>
  <c r="CP21" i="9" a="1"/>
  <c r="AT25" i="9" a="1"/>
  <c r="O20" i="9" a="1"/>
  <c r="BJ23" i="9" a="1"/>
  <c r="CR26" i="9" a="1"/>
  <c r="E21" i="9" a="1"/>
  <c r="BW24" i="9" a="1"/>
  <c r="K552" i="22"/>
  <c r="AQ28" i="9" a="1"/>
  <c r="CH28" i="9" a="1"/>
  <c r="Z27" i="9" a="1"/>
  <c r="L26" i="9" a="1"/>
  <c r="K400" i="14"/>
  <c r="CF24" i="9" a="1"/>
  <c r="K96" i="18"/>
  <c r="BP28" i="9" a="1"/>
  <c r="BI27" i="9" a="1"/>
  <c r="AE27" i="9" a="1"/>
  <c r="BR22" i="9" a="1"/>
  <c r="AV26" i="9" a="1"/>
  <c r="AG20" i="9" a="1"/>
  <c r="BM24" i="9" a="1"/>
  <c r="K1312" i="22"/>
  <c r="R22" i="9" a="1"/>
  <c r="CE26" i="9" a="1"/>
  <c r="K134" i="22"/>
  <c r="CP24" i="9" a="1"/>
  <c r="Y25" i="9" a="1"/>
  <c r="AL28" i="9" a="1"/>
  <c r="BU28" i="9" a="1"/>
  <c r="U27" i="9" a="1"/>
  <c r="BU25" i="9" a="1"/>
  <c r="K248" i="14"/>
  <c r="BP24" i="9" a="1"/>
  <c r="L25" i="9" a="1"/>
  <c r="CO22" i="9" a="1"/>
  <c r="AN26" i="9" a="1"/>
  <c r="AK20" i="9" a="1"/>
  <c r="AV24" i="9" a="1"/>
  <c r="CE24" i="9" a="1"/>
  <c r="BA22" i="9" a="1"/>
  <c r="AD25" i="9" a="1"/>
  <c r="BE21" i="9" a="1"/>
  <c r="CG23" i="9" a="1"/>
  <c r="AO28" i="9" a="1"/>
  <c r="AP28" i="9" a="1"/>
  <c r="BX27" i="9" a="1"/>
  <c r="AD24" i="9" a="1"/>
  <c r="U26" i="9" a="1"/>
  <c r="AF22" i="9" a="1"/>
  <c r="BI26" i="9" a="1"/>
  <c r="CG21" i="9" a="1"/>
  <c r="BI23" i="9" a="1"/>
  <c r="BF28" i="9" a="1"/>
  <c r="AR27" i="9" a="1"/>
  <c r="AO27" i="9" a="1"/>
  <c r="AS22" i="9" a="1"/>
  <c r="BZ26" i="9" a="1"/>
  <c r="CJ21" i="9" a="1"/>
  <c r="H25" i="9" a="1"/>
  <c r="AV20" i="9" a="1"/>
  <c r="CQ23" i="9" a="1"/>
  <c r="BN26" i="9" a="1"/>
  <c r="BQ21" i="9" a="1"/>
  <c r="O24" i="9" a="1"/>
  <c r="K58" i="22"/>
  <c r="AJ22" i="9" a="1"/>
  <c r="K856" i="22"/>
  <c r="BA20" i="9" a="1"/>
  <c r="BG28" i="9" a="1"/>
  <c r="AN27" i="9" a="1"/>
  <c r="J27" i="9" a="1"/>
  <c r="AV22" i="9" a="1"/>
  <c r="BC26" i="9" a="1"/>
  <c r="K324" i="22"/>
  <c r="T24" i="9" a="1"/>
  <c r="BB25" i="9" a="1"/>
  <c r="CF22" i="9" a="1"/>
  <c r="AF25" i="9" a="1"/>
  <c r="E20" i="9" a="1"/>
  <c r="BH24" i="9" a="1"/>
  <c r="AY26" i="9" a="1"/>
  <c r="BG21" i="9" a="1"/>
  <c r="AI28" i="9" a="1"/>
  <c r="BQ28" i="9" a="1"/>
  <c r="AX27" i="9" a="1"/>
  <c r="V24" i="9" a="1"/>
  <c r="BK25" i="9" a="1"/>
  <c r="BN22" i="9" a="1"/>
  <c r="BP26" i="9" a="1"/>
  <c r="BJ20" i="9" a="1"/>
  <c r="BF24" i="9" a="1"/>
  <c r="BI25" i="9" a="1"/>
  <c r="BJ22" i="9" a="1"/>
  <c r="AL26" i="9" a="1"/>
  <c r="CL20" i="9" a="1"/>
  <c r="CC24" i="9" a="1"/>
  <c r="K438" i="14"/>
  <c r="AB28" i="9" a="1"/>
  <c r="BZ28" i="9" a="1"/>
  <c r="CF27" i="9" a="1"/>
  <c r="BV25" i="9" a="1"/>
  <c r="CH20" i="9" a="1"/>
  <c r="BT23" i="9" a="1"/>
  <c r="E22" i="9" a="1"/>
  <c r="AX22" i="9" a="1"/>
  <c r="BA25" i="9" a="1"/>
  <c r="K20" i="9" a="1"/>
  <c r="BO23" i="9" a="1"/>
  <c r="AK28" i="9" a="1"/>
  <c r="CP27" i="9" a="1"/>
  <c r="CR27" i="9" a="1"/>
  <c r="BM22" i="9" a="1"/>
  <c r="O26" i="9" a="1"/>
  <c r="CQ20" i="9" a="1"/>
  <c r="CG24" i="9" a="1"/>
  <c r="AB20" i="9" a="1"/>
  <c r="V22" i="9" a="1"/>
  <c r="CG26" i="9" a="1"/>
  <c r="CB20" i="9" a="1"/>
  <c r="AI24" i="9" a="1"/>
  <c r="BE26" i="9" a="1"/>
  <c r="CK22" i="9" a="1"/>
  <c r="K58" i="13"/>
  <c r="AQ21" i="9" a="1"/>
  <c r="BO26" i="9" a="1"/>
  <c r="S26" i="9" a="1"/>
  <c r="AZ24" i="9" a="1"/>
  <c r="K1046" i="22"/>
  <c r="V28" i="9" a="1"/>
  <c r="CQ27" i="9" a="1"/>
  <c r="AI27" i="9" a="1"/>
  <c r="AV21" i="9" a="1"/>
  <c r="CI25" i="9" a="1"/>
  <c r="K1236" i="22"/>
  <c r="CD24" i="9" a="1"/>
  <c r="BE23" i="9" a="1"/>
  <c r="CF21" i="9" a="1"/>
  <c r="CD25" i="9" a="1"/>
  <c r="K1122" i="22"/>
  <c r="R23" i="9" a="1"/>
  <c r="CQ24" i="9" a="1"/>
  <c r="AM28" i="9" a="1"/>
  <c r="AV28" i="9" a="1"/>
  <c r="BB27" i="9" a="1"/>
  <c r="BT25" i="9" a="1"/>
  <c r="AT20" i="9" a="1"/>
  <c r="BV23" i="9" a="1"/>
  <c r="AY21" i="9" a="1"/>
  <c r="CD21" i="9" a="1"/>
  <c r="AK25" i="9" a="1"/>
  <c r="K666" i="22"/>
  <c r="BQ23" i="9" a="1"/>
  <c r="K1730" i="22"/>
  <c r="CC21" i="9" a="1"/>
  <c r="CR25" i="9" a="1"/>
  <c r="K552" i="14"/>
  <c r="AU22" i="9" a="1"/>
  <c r="P28" i="9" a="1"/>
  <c r="AL27" i="9" a="1"/>
  <c r="AY27" i="9" a="1"/>
  <c r="AY23" i="9" a="1"/>
  <c r="CJ22" i="9" a="1"/>
  <c r="AL22" i="9" a="1"/>
  <c r="CQ26" i="9" a="1"/>
  <c r="K172" i="22"/>
  <c r="CP22" i="9" a="1"/>
  <c r="CN28" i="9" a="1"/>
  <c r="S27" i="9" a="1"/>
  <c r="AP27" i="9" a="1"/>
  <c r="W22" i="9" a="1"/>
  <c r="M26" i="9" a="1"/>
  <c r="BT20" i="9" a="1"/>
  <c r="H24" i="9" a="1"/>
  <c r="S25" i="9" a="1"/>
  <c r="AE22" i="9" a="1"/>
  <c r="H26" i="9" a="1"/>
  <c r="BP20" i="9" a="1"/>
  <c r="BY24" i="9" a="1"/>
  <c r="CR24" i="9" a="1"/>
  <c r="BW22" i="9" a="1"/>
  <c r="CG22" i="9" a="1"/>
  <c r="AQ22" i="9" a="1"/>
  <c r="BH28" i="9" a="1"/>
  <c r="BE27" i="9" a="1"/>
  <c r="AZ27" i="9" a="1"/>
  <c r="BP21" i="9" a="1"/>
  <c r="AM25" i="9" a="1"/>
  <c r="K590" i="14"/>
  <c r="H23" i="9" a="1"/>
  <c r="BO20" i="9" a="1"/>
  <c r="Y21" i="9" a="1"/>
  <c r="BJ25" i="9" a="1"/>
  <c r="CE20" i="9" a="1"/>
  <c r="BR23" i="9" a="1"/>
  <c r="BX26" i="9" a="1"/>
  <c r="K172" i="5"/>
  <c r="L28" i="9" a="1"/>
  <c r="AG27" i="9" a="1"/>
  <c r="AM27" i="9" a="1"/>
  <c r="BD23" i="9" a="1"/>
  <c r="BE20" i="9" a="1"/>
  <c r="BJ21" i="9" a="1"/>
  <c r="CK25" i="9" a="1"/>
  <c r="K780" i="22"/>
  <c r="T23" i="9" a="1"/>
  <c r="AT21" i="9" a="1"/>
  <c r="L21" i="9" a="1"/>
  <c r="BX25" i="9" a="1"/>
  <c r="K20" i="13"/>
  <c r="BC28" i="9" a="1"/>
  <c r="AF27" i="9" a="1"/>
  <c r="AU26" i="9" a="1"/>
  <c r="CI21" i="9" a="1"/>
  <c r="S24" i="9" a="1"/>
  <c r="BW20" i="9" a="1"/>
  <c r="AA23" i="9" a="1"/>
  <c r="R26" i="9" a="1"/>
  <c r="BM21" i="9" a="1"/>
  <c r="N24" i="9" a="1"/>
  <c r="BR20" i="9" a="1"/>
  <c r="CK23" i="9" a="1"/>
  <c r="CL23" i="9" a="1"/>
  <c r="T28" i="9" a="1"/>
  <c r="BV28" i="9" a="1"/>
  <c r="AU27" i="9" a="1"/>
  <c r="AW24" i="9" a="1"/>
  <c r="BH26" i="9" a="1"/>
  <c r="BC22" i="9" a="1"/>
  <c r="N26" i="9" a="1"/>
  <c r="BC21" i="9" a="1"/>
  <c r="F24" i="9" a="1"/>
  <c r="AH20" i="9" a="1"/>
  <c r="AY22" i="9" a="1"/>
  <c r="CH26" i="9" a="1"/>
  <c r="P20" i="9" a="1"/>
  <c r="AC24" i="9" a="1"/>
  <c r="BY22" i="9" a="1"/>
  <c r="AZ21" i="9" a="1"/>
  <c r="CM28" i="9" a="1"/>
  <c r="O27" i="9" a="1"/>
  <c r="BU27" i="9" a="1"/>
  <c r="Y23" i="9" a="1"/>
  <c r="AM26" i="9" a="1"/>
  <c r="M21" i="9" a="1"/>
  <c r="G25" i="9" a="1"/>
  <c r="AR26" i="9" a="1"/>
  <c r="CK21" i="9" a="1"/>
  <c r="AC28" i="9" a="1"/>
  <c r="CL27" i="9" a="1"/>
  <c r="W27" i="9" a="1"/>
  <c r="BO21" i="9" a="1"/>
  <c r="BR25" i="9" a="1"/>
  <c r="K20" i="5"/>
  <c r="CC23" i="9" a="1"/>
  <c r="AX21" i="9" a="1"/>
  <c r="AR21" i="9" a="1"/>
  <c r="BN25" i="9" a="1"/>
  <c r="K96" i="15"/>
  <c r="AK23" i="9" a="1"/>
  <c r="BS20" i="9" a="1"/>
  <c r="U21" i="9" a="1"/>
  <c r="BD26" i="9" a="1"/>
  <c r="AE26" i="9" a="1"/>
  <c r="R28" i="9" a="1"/>
  <c r="CM27" i="9" a="1"/>
  <c r="CB26" i="9" a="1"/>
  <c r="L20" i="9" a="1"/>
  <c r="BS24" i="9" a="1"/>
  <c r="AO20" i="9" a="1"/>
  <c r="O23" i="9" a="1"/>
  <c r="T26" i="9" a="1"/>
  <c r="K286" i="22"/>
  <c r="BN24" i="9" a="1"/>
  <c r="K286" i="15"/>
  <c r="BZ22" i="9" a="1"/>
  <c r="N25" i="9" a="1"/>
  <c r="AZ22" i="9" a="1"/>
  <c r="BT28" i="9" a="1"/>
  <c r="BN27" i="9" a="1"/>
  <c r="AQ27" i="9" a="1"/>
  <c r="Z22" i="9" a="1"/>
  <c r="AI26" i="9" a="1"/>
  <c r="BI21" i="9" a="1"/>
  <c r="Q25" i="9" a="1"/>
  <c r="AU20" i="9" a="1"/>
  <c r="AN22" i="9" a="1"/>
  <c r="W26" i="9" a="1"/>
  <c r="AW21" i="9" a="1"/>
  <c r="BE24" i="9" a="1"/>
  <c r="X20" i="9" a="1"/>
  <c r="N22" i="9" a="1"/>
  <c r="CN25" i="9" a="1"/>
  <c r="CQ28" i="9" a="1"/>
  <c r="E28" i="9" a="1"/>
  <c r="R27" i="9" a="1"/>
  <c r="BC24" i="9" a="1"/>
  <c r="AB24" i="9" a="1"/>
  <c r="BE22" i="9" a="1"/>
  <c r="P26" i="9" a="1"/>
  <c r="K438" i="22"/>
  <c r="CN24" i="9" a="1"/>
  <c r="BX20" i="9" a="1"/>
  <c r="K96" i="14"/>
  <c r="CJ28" i="9" a="1"/>
  <c r="K27" i="9" a="1"/>
  <c r="AB26" i="9" a="1"/>
  <c r="AB21" i="9" a="1"/>
  <c r="CC25" i="9" a="1"/>
  <c r="CA20" i="9" a="1"/>
  <c r="AP23" i="9" a="1"/>
  <c r="AF26" i="9" a="1"/>
  <c r="BL21" i="9" a="1"/>
  <c r="BY25" i="9" a="1"/>
  <c r="BV20" i="9" a="1"/>
  <c r="AD23" i="9" a="1"/>
  <c r="X26" i="9" a="1"/>
  <c r="CE21" i="9" a="1"/>
  <c r="CO23" i="9" a="1"/>
  <c r="BP22" i="9" a="1"/>
  <c r="Y20" i="9" a="1"/>
  <c r="AR25" i="9" a="1"/>
  <c r="R25" i="9" a="1"/>
  <c r="BZ20" i="9" a="1"/>
  <c r="I23" i="9" a="1"/>
  <c r="BJ26" i="9" a="1"/>
  <c r="K28" i="9" a="1"/>
  <c r="U28" i="9" a="1"/>
  <c r="CH27" i="9" a="1"/>
  <c r="AS26" i="9" a="1"/>
  <c r="Z20" i="9" a="1"/>
  <c r="AE24" i="9" a="1"/>
  <c r="BR26" i="9" a="1"/>
  <c r="CI22" i="9" a="1"/>
  <c r="CC26" i="9" a="1"/>
  <c r="K210" i="22"/>
  <c r="AA22" i="9" a="1"/>
  <c r="BR28" i="9" a="1"/>
  <c r="AZ28" i="9" a="1"/>
  <c r="BA27" i="9" a="1"/>
  <c r="Z26" i="9" a="1"/>
  <c r="K20" i="18"/>
  <c r="CH24" i="9" a="1"/>
  <c r="BH25" i="9" a="1"/>
  <c r="CD22" i="9" a="1"/>
  <c r="K26" i="9" a="1"/>
  <c r="CR20" i="9" a="1"/>
  <c r="BG24" i="9" a="1"/>
  <c r="AS25" i="9" a="1"/>
  <c r="T22" i="9" a="1"/>
  <c r="AM21" i="9" a="1"/>
  <c r="CB28" i="9" a="1"/>
  <c r="BR27" i="9" a="1"/>
  <c r="M27" i="9" a="1"/>
  <c r="BB23" i="9" a="1"/>
  <c r="CM22" i="9" a="1"/>
  <c r="AW22" i="9" a="1"/>
  <c r="BT26" i="9" a="1"/>
  <c r="H20" i="9" a="1"/>
  <c r="CM23" i="9" a="1"/>
  <c r="AI23" i="9" a="1"/>
  <c r="AR22" i="9" a="1"/>
  <c r="CE25" i="9" a="1"/>
  <c r="K362" i="22"/>
  <c r="BY23" i="9" a="1"/>
  <c r="BM26" i="9" a="1"/>
  <c r="CQ21" i="9" a="1"/>
  <c r="Y28" i="9" a="1"/>
  <c r="CE27" i="9" a="1"/>
  <c r="BV27" i="9" a="1"/>
  <c r="CL22" i="9" a="1"/>
  <c r="AT26" i="9" a="1"/>
  <c r="K666" i="14"/>
  <c r="AM24" i="9" a="1"/>
  <c r="AU21" i="9" a="1"/>
  <c r="K172" i="15"/>
  <c r="AX28" i="9" a="1"/>
  <c r="AB27" i="9" a="1"/>
  <c r="CA26" i="9" a="1"/>
  <c r="AI20" i="9" a="1"/>
  <c r="BR24" i="9" a="1"/>
  <c r="G20" i="9" a="1"/>
  <c r="AF23" i="9" a="1"/>
  <c r="CJ26" i="9" a="1"/>
  <c r="Z21" i="9" a="1"/>
  <c r="AJ24" i="9" a="1"/>
  <c r="CK20" i="9" a="1"/>
  <c r="BQ22" i="9" a="1"/>
  <c r="AP26" i="9" a="1"/>
  <c r="K1540" i="22"/>
  <c r="CP25" i="9" a="1"/>
  <c r="BI28" i="9" a="1"/>
  <c r="AY28" i="9" a="1"/>
  <c r="X27" i="9" a="1"/>
  <c r="BE25" i="9" a="1"/>
  <c r="K134" i="14"/>
  <c r="BS23" i="9" a="1"/>
  <c r="CI23" i="9" a="1"/>
  <c r="Y22" i="9" a="1"/>
  <c r="W25" i="9" a="1"/>
  <c r="BL20" i="9" a="1"/>
  <c r="BG23" i="9" a="1"/>
  <c r="AM23" i="9" a="1"/>
  <c r="T21" i="9" a="1"/>
  <c r="BV24" i="9" a="1"/>
  <c r="CP20" i="9" a="1"/>
  <c r="AA28" i="9" a="1"/>
  <c r="BS27" i="9" a="1"/>
  <c r="BQ27" i="9" a="1"/>
  <c r="CC22" i="9" a="1"/>
  <c r="I25" i="9" a="1"/>
  <c r="K58" i="14"/>
  <c r="CM24" i="9" a="1"/>
  <c r="AQ24" i="9" a="1"/>
  <c r="S22" i="9" a="1"/>
  <c r="E25" i="9" a="1"/>
  <c r="K1160" i="22"/>
  <c r="Z23" i="9" a="1"/>
  <c r="AZ23" i="9" a="1"/>
  <c r="CA21" i="9" a="1"/>
  <c r="AH24" i="9" a="1"/>
  <c r="AG28" i="9" a="1"/>
  <c r="CN27" i="9" a="1"/>
  <c r="BP27" i="9" a="1"/>
  <c r="BP23" i="9" a="1"/>
  <c r="AA20" i="9" a="1"/>
  <c r="BN21" i="9" a="1"/>
  <c r="V25" i="9" a="1"/>
  <c r="K134" i="15"/>
  <c r="Z24" i="9" a="1"/>
  <c r="CM26" i="9" a="1"/>
  <c r="CN22" i="9" a="1"/>
  <c r="BG25" i="9" a="1"/>
  <c r="K1844" i="22"/>
  <c r="AL23" i="9" a="1"/>
  <c r="CF20" i="9" a="1"/>
  <c r="K1274" i="22"/>
  <c r="BM25" i="9" a="1"/>
  <c r="CR28" i="9" a="1"/>
  <c r="CB27" i="9" a="1"/>
  <c r="O21" i="9" a="1"/>
  <c r="BB22" i="9" a="1"/>
  <c r="Q22" i="9" a="1"/>
  <c r="J23" i="9" a="1"/>
  <c r="H22" i="9" a="1"/>
  <c r="BK23" i="9" a="1"/>
  <c r="P23" i="9" a="1"/>
  <c r="N21" i="9" a="1"/>
  <c r="BJ24" i="9" a="1"/>
  <c r="K1616" i="22"/>
  <c r="AX26" i="9" a="1"/>
  <c r="BZ24" i="9" a="1"/>
  <c r="BB26" i="9" a="1"/>
  <c r="BP25" i="9" a="1"/>
  <c r="BB28" i="9" a="1"/>
  <c r="BY27" i="9" a="1"/>
  <c r="K1578" i="22"/>
  <c r="AI21" i="9" a="1"/>
  <c r="AL21" i="9" a="1"/>
  <c r="BX22" i="9" a="1"/>
  <c r="CH22" i="9" a="1"/>
  <c r="BS21" i="9" a="1"/>
  <c r="W23" i="9" a="1"/>
  <c r="BM20" i="9" a="1"/>
  <c r="AT22" i="9" a="1"/>
  <c r="J22" i="9" a="1"/>
  <c r="AA24" i="9" a="1"/>
  <c r="AY25" i="9" a="1"/>
  <c r="W20" i="9" a="1"/>
  <c r="BF21" i="9" a="1"/>
  <c r="BZ21" i="9" a="1"/>
  <c r="BV21" i="9" a="1"/>
  <c r="BH20" i="9" a="1"/>
  <c r="S23" i="9" a="1"/>
  <c r="AJ20" i="9" a="1"/>
  <c r="I24" i="9" a="1"/>
  <c r="K628" i="22"/>
  <c r="X28" i="9" a="1"/>
  <c r="U24" i="9" a="1"/>
  <c r="AT24" i="9" a="1"/>
  <c r="BL24" i="9" a="1"/>
  <c r="AT28" i="9" a="1"/>
  <c r="BZ27" i="9" a="1"/>
  <c r="AM20" i="9" a="1"/>
  <c r="K324" i="14"/>
  <c r="K1806" i="22"/>
  <c r="L24" i="9" a="1"/>
  <c r="U22" i="9" a="1"/>
  <c r="CA28" i="9" a="1"/>
  <c r="AO23" i="9" a="1"/>
  <c r="AO22" i="9" a="1"/>
  <c r="AX23" i="9" a="1"/>
  <c r="AU28" i="9" a="1"/>
  <c r="E27" i="9" a="1"/>
  <c r="BA23" i="9" a="1"/>
  <c r="K22" i="9" a="1"/>
  <c r="BC20" i="9" a="1"/>
  <c r="AW20" i="9" a="1"/>
  <c r="K172" i="18"/>
  <c r="CN20" i="9" a="1"/>
  <c r="S20" i="9" a="1"/>
  <c r="K248" i="22"/>
  <c r="BG27" i="9" a="1"/>
  <c r="BU22" i="9" a="1"/>
  <c r="CA22" i="9" a="1"/>
  <c r="BB21" i="9" a="1"/>
  <c r="AJ28" i="9" a="1"/>
  <c r="AO25" i="9" a="1"/>
  <c r="K248" i="15"/>
  <c r="BL26" i="9" a="1"/>
  <c r="AT23" i="9" a="1"/>
  <c r="P24" i="9" a="1"/>
  <c r="CB21" i="9" a="1"/>
  <c r="AR20" i="9" a="1"/>
  <c r="BD20" i="9" a="1"/>
  <c r="K96" i="22"/>
  <c r="J24" i="9" a="1"/>
  <c r="CR21" i="9" a="1"/>
  <c r="BK21" i="9" a="1"/>
  <c r="AW28" i="9" a="1"/>
  <c r="AA27" i="9" a="1"/>
  <c r="K24" i="9" a="1"/>
  <c r="Z25" i="9" a="1"/>
  <c r="CD26" i="9" a="1"/>
  <c r="O25" i="9" a="1"/>
  <c r="K1198" i="22"/>
  <c r="AD26" i="9" a="1"/>
  <c r="CB22" i="9" a="1"/>
  <c r="BT21" i="9" a="1"/>
  <c r="BA26" i="9" a="1"/>
  <c r="BK22" i="9" a="1"/>
  <c r="J20" i="9" a="1"/>
  <c r="CH23" i="9" a="1"/>
  <c r="BA28" i="9" a="1"/>
  <c r="AJ27" i="9" a="1"/>
  <c r="AN24" i="9" a="1"/>
  <c r="BC23" i="9" a="1"/>
  <c r="AU25" i="9" a="1"/>
  <c r="CA24" i="9" a="1"/>
  <c r="X25" i="9" a="1"/>
  <c r="AH25" i="9" a="1"/>
  <c r="AC25" i="9" a="1"/>
  <c r="AC20" i="9" a="1"/>
  <c r="BZ23" i="9" a="1"/>
  <c r="AL20" i="9" a="1"/>
  <c r="F21" i="9" a="1"/>
  <c r="AH21" i="9" a="1"/>
  <c r="CB24" i="9" a="1"/>
  <c r="CH21" i="9" a="1"/>
  <c r="AP25" i="9" a="1"/>
  <c r="Q21" i="9" a="1"/>
  <c r="BX23" i="9" a="1"/>
  <c r="K324" i="15"/>
  <c r="AQ20" i="9" a="1"/>
  <c r="K58" i="18"/>
  <c r="K818" i="22"/>
  <c r="CA23" i="9" a="1"/>
  <c r="BB24" i="9" a="1"/>
  <c r="BF25" i="9" a="1"/>
  <c r="BJ28" i="9" a="1"/>
  <c r="T27" i="9" a="1"/>
  <c r="BM23" i="9" a="1"/>
  <c r="M22" i="9" a="1"/>
  <c r="CL24" i="9" a="1"/>
  <c r="Y24" i="9" a="1"/>
  <c r="AQ23" i="9" a="1"/>
  <c r="CL25" i="9" a="1"/>
  <c r="CO24" i="9" a="1"/>
  <c r="CO25" i="9" a="1"/>
  <c r="AS20" i="9" a="1"/>
  <c r="AS23" i="9" a="1"/>
  <c r="K1692" i="22"/>
  <c r="K134" i="18"/>
  <c r="AS23" i="9" l="1"/>
  <c r="AS20" i="9"/>
  <c r="CO25" i="9"/>
  <c r="CO24" i="9"/>
  <c r="CL25" i="9"/>
  <c r="AQ23" i="9"/>
  <c r="Y24" i="9"/>
  <c r="AU7" i="19" s="1"/>
  <c r="CL24" i="9"/>
  <c r="DH7" i="19" s="1"/>
  <c r="M22" i="9"/>
  <c r="BM23" i="9"/>
  <c r="T27" i="9"/>
  <c r="BJ28" i="9"/>
  <c r="BF25" i="9"/>
  <c r="BB24" i="9"/>
  <c r="CA23" i="9"/>
  <c r="AQ20" i="9"/>
  <c r="BX23" i="9"/>
  <c r="Q21" i="9"/>
  <c r="AP25" i="9"/>
  <c r="CH21" i="9"/>
  <c r="CB24" i="9"/>
  <c r="AH21" i="9"/>
  <c r="F21" i="9"/>
  <c r="AL20" i="9"/>
  <c r="BZ23" i="9"/>
  <c r="AC20" i="9"/>
  <c r="AC25" i="9"/>
  <c r="AH25" i="9"/>
  <c r="X25" i="9"/>
  <c r="CA24" i="9"/>
  <c r="AU25" i="9"/>
  <c r="BQ8" i="19" s="1"/>
  <c r="BC23" i="9"/>
  <c r="AN24" i="9"/>
  <c r="AJ27" i="9"/>
  <c r="BA28" i="9"/>
  <c r="CH23" i="9"/>
  <c r="J20" i="9"/>
  <c r="BK22" i="9"/>
  <c r="BA26" i="9"/>
  <c r="BW9" i="19" s="1"/>
  <c r="BT21" i="9"/>
  <c r="CB22" i="9"/>
  <c r="AD26" i="9"/>
  <c r="O25" i="9"/>
  <c r="CD26" i="9"/>
  <c r="Z25" i="9"/>
  <c r="K24" i="9"/>
  <c r="AA27" i="9"/>
  <c r="AW10" i="19" s="1"/>
  <c r="AW28" i="9"/>
  <c r="BK21" i="9"/>
  <c r="CR21" i="9"/>
  <c r="J24" i="9"/>
  <c r="BD20" i="9"/>
  <c r="AR20" i="9"/>
  <c r="CB21" i="9"/>
  <c r="P24" i="9"/>
  <c r="AL7" i="19" s="1"/>
  <c r="AT23" i="9"/>
  <c r="BL26" i="9"/>
  <c r="AO25" i="9"/>
  <c r="AJ28" i="9"/>
  <c r="BB21" i="9"/>
  <c r="CA22" i="9"/>
  <c r="BU22" i="9"/>
  <c r="BG27" i="9"/>
  <c r="S20" i="9"/>
  <c r="CN20" i="9"/>
  <c r="AW20" i="9"/>
  <c r="BC20" i="9"/>
  <c r="K22" i="9"/>
  <c r="BA23" i="9"/>
  <c r="E27" i="9"/>
  <c r="AU28" i="9"/>
  <c r="BQ11" i="19" s="1"/>
  <c r="AX23" i="9"/>
  <c r="AO22" i="9"/>
  <c r="AO23" i="9"/>
  <c r="CA28" i="9"/>
  <c r="U22" i="9"/>
  <c r="L24" i="9"/>
  <c r="AM20" i="9"/>
  <c r="BZ27" i="9"/>
  <c r="CV10" i="19" s="1"/>
  <c r="AT28" i="9"/>
  <c r="BP11" i="19" s="1"/>
  <c r="BL24" i="9"/>
  <c r="AT24" i="9"/>
  <c r="U24" i="9"/>
  <c r="X28" i="9"/>
  <c r="I24" i="9"/>
  <c r="AJ20" i="9"/>
  <c r="S23" i="9"/>
  <c r="BH20" i="9"/>
  <c r="BV21" i="9"/>
  <c r="BZ21" i="9"/>
  <c r="BF21" i="9"/>
  <c r="W20" i="9"/>
  <c r="AY25" i="9"/>
  <c r="AA24" i="9"/>
  <c r="J22" i="9"/>
  <c r="AT22" i="9"/>
  <c r="BM20" i="9"/>
  <c r="W23" i="9"/>
  <c r="BS21" i="9"/>
  <c r="CH22" i="9"/>
  <c r="BX22" i="9"/>
  <c r="AL21" i="9"/>
  <c r="AI21" i="9"/>
  <c r="BY27" i="9"/>
  <c r="CU10" i="19" s="1"/>
  <c r="BB28" i="9"/>
  <c r="BP25" i="9"/>
  <c r="BB26" i="9"/>
  <c r="BZ24" i="9"/>
  <c r="AX26" i="9"/>
  <c r="BJ24" i="9"/>
  <c r="N21" i="9"/>
  <c r="P23" i="9"/>
  <c r="BK23" i="9"/>
  <c r="H22" i="9"/>
  <c r="J23" i="9"/>
  <c r="Q22" i="9"/>
  <c r="BB22" i="9"/>
  <c r="O21" i="9"/>
  <c r="CB27" i="9"/>
  <c r="CX10" i="19" s="1"/>
  <c r="CR28" i="9"/>
  <c r="DN11" i="19" s="1"/>
  <c r="BM25" i="9"/>
  <c r="CF20" i="9"/>
  <c r="AL23" i="9"/>
  <c r="BG25" i="9"/>
  <c r="CN22" i="9"/>
  <c r="CM26" i="9"/>
  <c r="Z24" i="9"/>
  <c r="AV7" i="19" s="1"/>
  <c r="V25" i="9"/>
  <c r="AR8" i="19" s="1"/>
  <c r="BN21" i="9"/>
  <c r="AA20" i="9"/>
  <c r="BP23" i="9"/>
  <c r="BP27" i="9"/>
  <c r="CN27" i="9"/>
  <c r="AG28" i="9"/>
  <c r="AH24" i="9"/>
  <c r="BD7" i="19" s="1"/>
  <c r="CA21" i="9"/>
  <c r="AZ23" i="9"/>
  <c r="Z23" i="9"/>
  <c r="E25" i="9"/>
  <c r="S22" i="9"/>
  <c r="AQ24" i="9"/>
  <c r="CM24" i="9"/>
  <c r="I25" i="9"/>
  <c r="AE8" i="19" s="1"/>
  <c r="CC22" i="9"/>
  <c r="BQ27" i="9"/>
  <c r="BS27" i="9"/>
  <c r="AA28" i="9"/>
  <c r="CP20" i="9"/>
  <c r="BV24" i="9"/>
  <c r="T21" i="9"/>
  <c r="AM23" i="9"/>
  <c r="BG23" i="9"/>
  <c r="BL20" i="9"/>
  <c r="W25" i="9"/>
  <c r="Y22" i="9"/>
  <c r="CI23" i="9"/>
  <c r="BS23" i="9"/>
  <c r="BE25" i="9"/>
  <c r="X27" i="9"/>
  <c r="AT10" i="19" s="1"/>
  <c r="AY28" i="9"/>
  <c r="BU11" i="19" s="1"/>
  <c r="BI28" i="9"/>
  <c r="CP25" i="9"/>
  <c r="AP26" i="9"/>
  <c r="BQ22" i="9"/>
  <c r="CK20" i="9"/>
  <c r="AJ24" i="9"/>
  <c r="Z21" i="9"/>
  <c r="CJ26" i="9"/>
  <c r="DF9" i="19" s="1"/>
  <c r="AF23" i="9"/>
  <c r="G20" i="9"/>
  <c r="BR24" i="9"/>
  <c r="AI20" i="9"/>
  <c r="CA26" i="9"/>
  <c r="AB27" i="9"/>
  <c r="AX28" i="9"/>
  <c r="BT11" i="19" s="1"/>
  <c r="AU21" i="9"/>
  <c r="AM24" i="9"/>
  <c r="AT26" i="9"/>
  <c r="CL22" i="9"/>
  <c r="BV27" i="9"/>
  <c r="CE27" i="9"/>
  <c r="Y28" i="9"/>
  <c r="CQ21" i="9"/>
  <c r="BM26" i="9"/>
  <c r="CI9" i="19" s="1"/>
  <c r="BY23" i="9"/>
  <c r="CE25" i="9"/>
  <c r="AR22" i="9"/>
  <c r="AI23" i="9"/>
  <c r="CM23" i="9"/>
  <c r="H20" i="9"/>
  <c r="BT26" i="9"/>
  <c r="CP9" i="19" s="1"/>
  <c r="AW22" i="9"/>
  <c r="CM22" i="9"/>
  <c r="BB23" i="9"/>
  <c r="M27" i="9"/>
  <c r="BR27" i="9"/>
  <c r="CB28" i="9"/>
  <c r="AM21" i="9"/>
  <c r="T22" i="9"/>
  <c r="AS25" i="9"/>
  <c r="BG24" i="9"/>
  <c r="CR20" i="9"/>
  <c r="K26" i="9"/>
  <c r="CD22" i="9"/>
  <c r="BH25" i="9"/>
  <c r="CH24" i="9"/>
  <c r="K14" i="18"/>
  <c r="Z26" i="9"/>
  <c r="BA27" i="9"/>
  <c r="AZ28" i="9"/>
  <c r="BR28" i="9"/>
  <c r="AA22" i="9"/>
  <c r="CC26" i="9"/>
  <c r="CI22" i="9"/>
  <c r="BR26" i="9"/>
  <c r="CN9" i="19" s="1"/>
  <c r="AE24" i="9"/>
  <c r="BA7" i="19" s="1"/>
  <c r="Z20" i="9"/>
  <c r="AS26" i="9"/>
  <c r="CH27" i="9"/>
  <c r="U28" i="9"/>
  <c r="K28" i="9"/>
  <c r="BJ26" i="9"/>
  <c r="I23" i="9"/>
  <c r="BZ20" i="9"/>
  <c r="R25" i="9"/>
  <c r="AR25" i="9"/>
  <c r="Y20" i="9"/>
  <c r="BP22" i="9"/>
  <c r="CO23" i="9"/>
  <c r="CE21" i="9"/>
  <c r="X26" i="9"/>
  <c r="AD23" i="9"/>
  <c r="AZ6" i="19" s="1"/>
  <c r="BV20" i="9"/>
  <c r="BY25" i="9"/>
  <c r="BL21" i="9"/>
  <c r="AF26" i="9"/>
  <c r="AP23" i="9"/>
  <c r="CA20" i="9"/>
  <c r="CC25" i="9"/>
  <c r="CY8" i="19" s="1"/>
  <c r="AB21" i="9"/>
  <c r="AB26" i="9"/>
  <c r="K27" i="9"/>
  <c r="CJ28" i="9"/>
  <c r="BX20" i="9"/>
  <c r="CN24" i="9"/>
  <c r="P26" i="9"/>
  <c r="BE22" i="9"/>
  <c r="AB24" i="9"/>
  <c r="BC24" i="9"/>
  <c r="R27" i="9"/>
  <c r="E28" i="9"/>
  <c r="CQ28" i="9"/>
  <c r="CN25" i="9"/>
  <c r="N22" i="9"/>
  <c r="X20" i="9"/>
  <c r="BE24" i="9"/>
  <c r="AW21" i="9"/>
  <c r="W26" i="9"/>
  <c r="AN22" i="9"/>
  <c r="AU20" i="9"/>
  <c r="Q25" i="9"/>
  <c r="BI21" i="9"/>
  <c r="AI26" i="9"/>
  <c r="BE9" i="19" s="1"/>
  <c r="Z22" i="9"/>
  <c r="AQ27" i="9"/>
  <c r="BN27" i="9"/>
  <c r="BT28" i="9"/>
  <c r="AZ22" i="9"/>
  <c r="N25" i="9"/>
  <c r="BZ22" i="9"/>
  <c r="BN24" i="9"/>
  <c r="CJ7" i="19" s="1"/>
  <c r="T26" i="9"/>
  <c r="AP9" i="19" s="1"/>
  <c r="O23" i="9"/>
  <c r="AO20" i="9"/>
  <c r="BS24" i="9"/>
  <c r="L20" i="9"/>
  <c r="CB26" i="9"/>
  <c r="CM27" i="9"/>
  <c r="R28" i="9"/>
  <c r="AN11" i="19" s="1"/>
  <c r="AE26" i="9"/>
  <c r="BA9" i="19" s="1"/>
  <c r="BD26" i="9"/>
  <c r="U21" i="9"/>
  <c r="BS20" i="9"/>
  <c r="AK23" i="9"/>
  <c r="BN25" i="9"/>
  <c r="AR21" i="9"/>
  <c r="AX21" i="9"/>
  <c r="CC23" i="9"/>
  <c r="K14" i="5"/>
  <c r="BR25" i="9"/>
  <c r="BO21" i="9"/>
  <c r="W27" i="9"/>
  <c r="CL27" i="9"/>
  <c r="AC28" i="9"/>
  <c r="CK21" i="9"/>
  <c r="AR26" i="9"/>
  <c r="BN9" i="19" s="1"/>
  <c r="G25" i="9"/>
  <c r="M21" i="9"/>
  <c r="AM26" i="9"/>
  <c r="Y23" i="9"/>
  <c r="BU27" i="9"/>
  <c r="O27" i="9"/>
  <c r="CM28" i="9"/>
  <c r="DI11" i="19" s="1"/>
  <c r="AZ21" i="9"/>
  <c r="BY22" i="9"/>
  <c r="AC24" i="9"/>
  <c r="P20" i="9"/>
  <c r="CH26" i="9"/>
  <c r="AY22" i="9"/>
  <c r="AH20" i="9"/>
  <c r="F24" i="9"/>
  <c r="AB7" i="19" s="1"/>
  <c r="BC21" i="9"/>
  <c r="N26" i="9"/>
  <c r="BC22" i="9"/>
  <c r="BH26" i="9"/>
  <c r="AW24" i="9"/>
  <c r="AU27" i="9"/>
  <c r="BV28" i="9"/>
  <c r="T28" i="9"/>
  <c r="CL23" i="9"/>
  <c r="CK23" i="9"/>
  <c r="BR20" i="9"/>
  <c r="N24" i="9"/>
  <c r="BM21" i="9"/>
  <c r="R26" i="9"/>
  <c r="AA23" i="9"/>
  <c r="BW20" i="9"/>
  <c r="S24" i="9"/>
  <c r="AO7" i="19" s="1"/>
  <c r="CI21" i="9"/>
  <c r="AU26" i="9"/>
  <c r="AF27" i="9"/>
  <c r="BC28" i="9"/>
  <c r="BX25" i="9"/>
  <c r="L21" i="9"/>
  <c r="AT21" i="9"/>
  <c r="T23" i="9"/>
  <c r="CK25" i="9"/>
  <c r="BJ21" i="9"/>
  <c r="BE20" i="9"/>
  <c r="BD23" i="9"/>
  <c r="AM27" i="9"/>
  <c r="AG27" i="9"/>
  <c r="L28" i="9"/>
  <c r="AH11" i="19" s="1"/>
  <c r="BX26" i="9"/>
  <c r="CT9" i="19" s="1"/>
  <c r="BR23" i="9"/>
  <c r="CE20" i="9"/>
  <c r="BJ25" i="9"/>
  <c r="Y21" i="9"/>
  <c r="BO20" i="9"/>
  <c r="H23" i="9"/>
  <c r="AM25" i="9"/>
  <c r="BI8" i="19" s="1"/>
  <c r="BP21" i="9"/>
  <c r="AZ27" i="9"/>
  <c r="BE27" i="9"/>
  <c r="BH28" i="9"/>
  <c r="AQ22" i="9"/>
  <c r="CG22" i="9"/>
  <c r="DC5" i="19" s="1"/>
  <c r="BW22" i="9"/>
  <c r="CR24" i="9"/>
  <c r="DN7" i="19" s="1"/>
  <c r="BY24" i="9"/>
  <c r="BP20" i="9"/>
  <c r="H26" i="9"/>
  <c r="AE22" i="9"/>
  <c r="S25" i="9"/>
  <c r="H24" i="9"/>
  <c r="BT20" i="9"/>
  <c r="M26" i="9"/>
  <c r="AI9" i="19" s="1"/>
  <c r="W22" i="9"/>
  <c r="AP27" i="9"/>
  <c r="S27" i="9"/>
  <c r="CN28" i="9"/>
  <c r="CP22" i="9"/>
  <c r="CQ26" i="9"/>
  <c r="AL22" i="9"/>
  <c r="CJ22" i="9"/>
  <c r="AY23" i="9"/>
  <c r="AY27" i="9"/>
  <c r="AL27" i="9"/>
  <c r="P28" i="9"/>
  <c r="AU22" i="9"/>
  <c r="CR25" i="9"/>
  <c r="CC21" i="9"/>
  <c r="BQ23" i="9"/>
  <c r="AK25" i="9"/>
  <c r="CD21" i="9"/>
  <c r="AY21" i="9"/>
  <c r="BV23" i="9"/>
  <c r="AT20" i="9"/>
  <c r="BT25" i="9"/>
  <c r="BB27" i="9"/>
  <c r="AV28" i="9"/>
  <c r="AM28" i="9"/>
  <c r="BI11" i="19" s="1"/>
  <c r="CQ24" i="9"/>
  <c r="R23" i="9"/>
  <c r="CD25" i="9"/>
  <c r="CF21" i="9"/>
  <c r="BE23" i="9"/>
  <c r="CD24" i="9"/>
  <c r="CI25" i="9"/>
  <c r="DE8" i="19" s="1"/>
  <c r="AV21" i="9"/>
  <c r="AI27" i="9"/>
  <c r="CQ27" i="9"/>
  <c r="V28" i="9"/>
  <c r="AZ24" i="9"/>
  <c r="S26" i="9"/>
  <c r="BO26" i="9"/>
  <c r="AQ21" i="9"/>
  <c r="CK22" i="9"/>
  <c r="BE26" i="9"/>
  <c r="AI24" i="9"/>
  <c r="CB20" i="9"/>
  <c r="CG26" i="9"/>
  <c r="DC9" i="19" s="1"/>
  <c r="V22" i="9"/>
  <c r="AB20" i="9"/>
  <c r="CG24" i="9"/>
  <c r="DC7" i="19" s="1"/>
  <c r="CQ20" i="9"/>
  <c r="O26" i="9"/>
  <c r="BM22" i="9"/>
  <c r="CR27" i="9"/>
  <c r="CP27" i="9"/>
  <c r="DL10" i="19" s="1"/>
  <c r="AK28" i="9"/>
  <c r="BO23" i="9"/>
  <c r="K20" i="9"/>
  <c r="BA25" i="9"/>
  <c r="AX22" i="9"/>
  <c r="E22" i="9"/>
  <c r="BT23" i="9"/>
  <c r="CH20" i="9"/>
  <c r="BV25" i="9"/>
  <c r="CF27" i="9"/>
  <c r="BZ28" i="9"/>
  <c r="CV11" i="19" s="1"/>
  <c r="AB28" i="9"/>
  <c r="AX11" i="19" s="1"/>
  <c r="CC24" i="9"/>
  <c r="CL20" i="9"/>
  <c r="AL26" i="9"/>
  <c r="BJ22" i="9"/>
  <c r="BI25" i="9"/>
  <c r="BF24" i="9"/>
  <c r="BJ20" i="9"/>
  <c r="BP26" i="9"/>
  <c r="CL9" i="19" s="1"/>
  <c r="BN22" i="9"/>
  <c r="BK25" i="9"/>
  <c r="V24" i="9"/>
  <c r="AX27" i="9"/>
  <c r="BQ28" i="9"/>
  <c r="AI28" i="9"/>
  <c r="BG21" i="9"/>
  <c r="AY26" i="9"/>
  <c r="BU9" i="19" s="1"/>
  <c r="BH24" i="9"/>
  <c r="E20" i="9"/>
  <c r="AF25" i="9"/>
  <c r="CF22" i="9"/>
  <c r="BB25" i="9"/>
  <c r="T24" i="9"/>
  <c r="BC26" i="9"/>
  <c r="BY9" i="19" s="1"/>
  <c r="AV22" i="9"/>
  <c r="J27" i="9"/>
  <c r="AN27" i="9"/>
  <c r="BG28" i="9"/>
  <c r="BA20" i="9"/>
  <c r="AJ22" i="9"/>
  <c r="O24" i="9"/>
  <c r="BQ21" i="9"/>
  <c r="BN26" i="9"/>
  <c r="CJ9" i="19" s="1"/>
  <c r="CQ23" i="9"/>
  <c r="AV20" i="9"/>
  <c r="H25" i="9"/>
  <c r="CJ21" i="9"/>
  <c r="BZ26" i="9"/>
  <c r="AS22" i="9"/>
  <c r="AO27" i="9"/>
  <c r="BK10" i="19" s="1"/>
  <c r="AR27" i="9"/>
  <c r="BN10" i="19" s="1"/>
  <c r="BF28" i="9"/>
  <c r="BI23" i="9"/>
  <c r="CG21" i="9"/>
  <c r="DC4" i="19" s="1"/>
  <c r="BI26" i="9"/>
  <c r="CE9" i="19" s="1"/>
  <c r="AF22" i="9"/>
  <c r="U26" i="9"/>
  <c r="AD24" i="9"/>
  <c r="AZ7" i="19" s="1"/>
  <c r="BX27" i="9"/>
  <c r="CT10" i="19" s="1"/>
  <c r="AP28" i="9"/>
  <c r="AO28" i="9"/>
  <c r="CG23" i="9"/>
  <c r="DC6" i="19" s="1"/>
  <c r="BE21" i="9"/>
  <c r="AD25" i="9"/>
  <c r="BA22" i="9"/>
  <c r="CE24" i="9"/>
  <c r="DA7" i="19" s="1"/>
  <c r="AV24" i="9"/>
  <c r="BR7" i="19" s="1"/>
  <c r="AK20" i="9"/>
  <c r="AN26" i="9"/>
  <c r="CO22" i="9"/>
  <c r="L25" i="9"/>
  <c r="AH8" i="19" s="1"/>
  <c r="BP24" i="9"/>
  <c r="BU25" i="9"/>
  <c r="CQ8" i="19" s="1"/>
  <c r="U27" i="9"/>
  <c r="AQ10" i="19" s="1"/>
  <c r="BU28" i="9"/>
  <c r="CQ11" i="19" s="1"/>
  <c r="AL28" i="9"/>
  <c r="Y25" i="9"/>
  <c r="CP24" i="9"/>
  <c r="CE26" i="9"/>
  <c r="DA9" i="19" s="1"/>
  <c r="R22" i="9"/>
  <c r="BM24" i="9"/>
  <c r="AG20" i="9"/>
  <c r="AV26" i="9"/>
  <c r="BR22" i="9"/>
  <c r="AE27" i="9"/>
  <c r="BI27" i="9"/>
  <c r="BP28" i="9"/>
  <c r="CF24" i="9"/>
  <c r="L26" i="9"/>
  <c r="Z27" i="9"/>
  <c r="AV10" i="19" s="1"/>
  <c r="CH28" i="9"/>
  <c r="DD11" i="19" s="1"/>
  <c r="AQ28" i="9"/>
  <c r="BW24" i="9"/>
  <c r="E21" i="9"/>
  <c r="CR26" i="9"/>
  <c r="BJ23" i="9"/>
  <c r="O20" i="9"/>
  <c r="AT25" i="9"/>
  <c r="BP8" i="19" s="1"/>
  <c r="CP21" i="9"/>
  <c r="AN20" i="9"/>
  <c r="K23" i="9"/>
  <c r="BI20" i="9"/>
  <c r="AF24" i="9"/>
  <c r="Q27" i="9"/>
  <c r="BM28" i="9"/>
  <c r="CK28" i="9"/>
  <c r="DG11" i="19" s="1"/>
  <c r="AP22" i="9"/>
  <c r="AB23" i="9"/>
  <c r="BA24" i="9"/>
  <c r="BD21" i="9"/>
  <c r="CK26" i="9"/>
  <c r="AR23" i="9"/>
  <c r="AX25" i="9"/>
  <c r="V21" i="9"/>
  <c r="CP26" i="9"/>
  <c r="AD22" i="9"/>
  <c r="I27" i="9"/>
  <c r="CG27" i="9"/>
  <c r="DC10" i="19" s="1"/>
  <c r="Z28" i="9"/>
  <c r="AY20" i="9"/>
  <c r="R20" i="9"/>
  <c r="L23" i="9"/>
  <c r="AX20" i="9"/>
  <c r="BZ25" i="9"/>
  <c r="AO21" i="9"/>
  <c r="BD22" i="9"/>
  <c r="AW23" i="9"/>
  <c r="AL25" i="9"/>
  <c r="BA21" i="9"/>
  <c r="J21" i="9"/>
  <c r="M23" i="9"/>
  <c r="BT27" i="9"/>
  <c r="F27" i="9"/>
  <c r="AS28" i="9"/>
  <c r="G24" i="9"/>
  <c r="BW21" i="9"/>
  <c r="BF20" i="9"/>
  <c r="CN23" i="9"/>
  <c r="CH25" i="9"/>
  <c r="DD8" i="19" s="1"/>
  <c r="V27" i="9"/>
  <c r="BY28" i="9"/>
  <c r="G28" i="9"/>
  <c r="R24" i="9"/>
  <c r="AN7" i="19" s="1"/>
  <c r="AA26" i="9"/>
  <c r="AH22" i="9"/>
  <c r="AU24" i="9"/>
  <c r="BQ7" i="19" s="1"/>
  <c r="W21" i="9"/>
  <c r="AQ26" i="9"/>
  <c r="CR23" i="9"/>
  <c r="CO20" i="9"/>
  <c r="BI24" i="9"/>
  <c r="CE7" i="19" s="1"/>
  <c r="S21" i="9"/>
  <c r="F26" i="9"/>
  <c r="BK27" i="9"/>
  <c r="CG10" i="19" s="1"/>
  <c r="W28" i="9"/>
  <c r="CL26" i="9"/>
  <c r="AJ25" i="9"/>
  <c r="AE21" i="9"/>
  <c r="AF20" i="9"/>
  <c r="AV23" i="9"/>
  <c r="AZ20" i="9"/>
  <c r="CB25" i="9"/>
  <c r="CX8" i="19" s="1"/>
  <c r="AJ21" i="9"/>
  <c r="BN23" i="9"/>
  <c r="AT27" i="9"/>
  <c r="AV27" i="9"/>
  <c r="BK28" i="9"/>
  <c r="U25" i="9"/>
  <c r="BY21" i="9"/>
  <c r="J26" i="9"/>
  <c r="AF9" i="19" s="1"/>
  <c r="BW27" i="9"/>
  <c r="CS10" i="19" s="1"/>
  <c r="Q28" i="9"/>
  <c r="AQ25" i="9"/>
  <c r="BR21" i="9"/>
  <c r="CQ22" i="9"/>
  <c r="Q23" i="9"/>
  <c r="BD25" i="9"/>
  <c r="CE22" i="9"/>
  <c r="AN23" i="9"/>
  <c r="V23" i="9"/>
  <c r="T25" i="9"/>
  <c r="BC27" i="9"/>
  <c r="S28" i="9"/>
  <c r="AO11" i="19" s="1"/>
  <c r="CO28" i="9"/>
  <c r="AK22" i="9"/>
  <c r="BW25" i="9"/>
  <c r="CS8" i="19" s="1"/>
  <c r="K21" i="9"/>
  <c r="BS22" i="9"/>
  <c r="CD23" i="9"/>
  <c r="V20" i="9"/>
  <c r="BC25" i="9"/>
  <c r="P21" i="9"/>
  <c r="BH21" i="9"/>
  <c r="N23" i="9"/>
  <c r="H27" i="9"/>
  <c r="BM27" i="9"/>
  <c r="BX28" i="9"/>
  <c r="X21" i="9"/>
  <c r="CI24" i="9"/>
  <c r="Q26" i="9"/>
  <c r="AB22" i="9"/>
  <c r="I26" i="9"/>
  <c r="AK24" i="9"/>
  <c r="BG7" i="19" s="1"/>
  <c r="CM21" i="9"/>
  <c r="BF26" i="9"/>
  <c r="AG22" i="9"/>
  <c r="BY26" i="9"/>
  <c r="BK24" i="9"/>
  <c r="L27" i="9"/>
  <c r="J28" i="9"/>
  <c r="AF11" i="19" s="1"/>
  <c r="CG28" i="9"/>
  <c r="DC11" i="19" s="1"/>
  <c r="AG25" i="9"/>
  <c r="AI22" i="9"/>
  <c r="AP24" i="9"/>
  <c r="W24" i="9"/>
  <c r="CI20" i="9"/>
  <c r="AB25" i="9"/>
  <c r="BO27" i="9"/>
  <c r="CK10" i="19" s="1"/>
  <c r="I28" i="9"/>
  <c r="AE11" i="19" s="1"/>
  <c r="F28" i="9"/>
  <c r="X24" i="9"/>
  <c r="AN21" i="9"/>
  <c r="K14" i="15"/>
  <c r="BL23" i="9"/>
  <c r="CD20" i="9"/>
  <c r="AW25" i="9"/>
  <c r="BS8" i="19" s="1"/>
  <c r="R21" i="9"/>
  <c r="AM22" i="9"/>
  <c r="E24" i="9"/>
  <c r="CJ20" i="9"/>
  <c r="CA25" i="9"/>
  <c r="AG21" i="9"/>
  <c r="BD27" i="9"/>
  <c r="BJ27" i="9"/>
  <c r="CF10" i="19" s="1"/>
  <c r="BL28" i="9"/>
  <c r="AJ23" i="9"/>
  <c r="H21" i="9"/>
  <c r="CQ25" i="9"/>
  <c r="O22" i="9"/>
  <c r="CJ24" i="9"/>
  <c r="AX24" i="9"/>
  <c r="BW26" i="9"/>
  <c r="CS9" i="19" s="1"/>
  <c r="P22" i="9"/>
  <c r="F23" i="9"/>
  <c r="U23" i="9"/>
  <c r="AS27" i="9"/>
  <c r="BE28" i="9"/>
  <c r="AD28" i="9"/>
  <c r="BB20" i="9"/>
  <c r="CJ25" i="9"/>
  <c r="DF8" i="19" s="1"/>
  <c r="G22" i="9"/>
  <c r="AK27" i="9"/>
  <c r="G27" i="9"/>
  <c r="CI28" i="9"/>
  <c r="AS21" i="9"/>
  <c r="CM20" i="9"/>
  <c r="AJ26" i="9"/>
  <c r="BV22" i="9"/>
  <c r="BV26" i="9"/>
  <c r="BO24" i="9"/>
  <c r="AD20" i="9"/>
  <c r="BG26" i="9"/>
  <c r="BT22" i="9"/>
  <c r="BN20" i="9"/>
  <c r="BT24" i="9"/>
  <c r="G26" i="9"/>
  <c r="AC9" i="19" s="1"/>
  <c r="BF27" i="9"/>
  <c r="CB10" i="19" s="1"/>
  <c r="BD28" i="9"/>
  <c r="BW28" i="9"/>
  <c r="E23" i="9"/>
  <c r="AE20" i="9"/>
  <c r="BK26" i="9"/>
  <c r="BI22" i="9"/>
  <c r="BS26" i="9"/>
  <c r="CO9" i="19" s="1"/>
  <c r="AO24" i="9"/>
  <c r="AZ26" i="9"/>
  <c r="F22" i="9"/>
  <c r="AZ25" i="9"/>
  <c r="BD24" i="9"/>
  <c r="CD27" i="9"/>
  <c r="AN28" i="9"/>
  <c r="BO28" i="9"/>
  <c r="CK11" i="19" s="1"/>
  <c r="AC22" i="9"/>
  <c r="F20" i="9"/>
  <c r="BU24" i="9"/>
  <c r="CN21" i="9"/>
  <c r="V26" i="9"/>
  <c r="BH23" i="9"/>
  <c r="BY20" i="9"/>
  <c r="BO25" i="9"/>
  <c r="CK8" i="19" s="1"/>
  <c r="BX21" i="9"/>
  <c r="CC20" i="9"/>
  <c r="AG23" i="9"/>
  <c r="AE25" i="9"/>
  <c r="CC27" i="9"/>
  <c r="CY10" i="19" s="1"/>
  <c r="M28" i="9"/>
  <c r="BN28" i="9"/>
  <c r="BL25" i="9"/>
  <c r="CP23" i="9"/>
  <c r="AR24" i="9"/>
  <c r="Y26" i="9"/>
  <c r="CO27" i="9"/>
  <c r="CD28" i="9"/>
  <c r="I20" i="9"/>
  <c r="P25" i="9"/>
  <c r="BF22" i="9"/>
  <c r="K25" i="9"/>
  <c r="AG8" i="19" s="1"/>
  <c r="BX24" i="9"/>
  <c r="AW26" i="9"/>
  <c r="BH22" i="9"/>
  <c r="BQ26" i="9"/>
  <c r="AL24" i="9"/>
  <c r="AO26" i="9"/>
  <c r="X22" i="9"/>
  <c r="BH27" i="9"/>
  <c r="CD10" i="19" s="1"/>
  <c r="AC27" i="9"/>
  <c r="CL28" i="9"/>
  <c r="AA25" i="9"/>
  <c r="CN26" i="9"/>
  <c r="I22" i="9"/>
  <c r="CK24" i="9"/>
  <c r="AP21" i="9"/>
  <c r="BU26" i="9"/>
  <c r="CQ9" i="19" s="1"/>
  <c r="BG22" i="9"/>
  <c r="T20" i="9"/>
  <c r="AS24" i="9"/>
  <c r="P27" i="9"/>
  <c r="AL10" i="19" s="1"/>
  <c r="O28" i="9"/>
  <c r="CF28" i="9"/>
  <c r="K14" i="22"/>
  <c r="CF26" i="9"/>
  <c r="DB9" i="19" s="1"/>
  <c r="BL22" i="9"/>
  <c r="BL27" i="9"/>
  <c r="AH27" i="9"/>
  <c r="H28" i="9"/>
  <c r="CJ23" i="9"/>
  <c r="CO21" i="9"/>
  <c r="CO26" i="9"/>
  <c r="DK9" i="19" s="1"/>
  <c r="CE23" i="9"/>
  <c r="M20" i="9"/>
  <c r="AI25" i="9"/>
  <c r="AC21" i="9"/>
  <c r="CF23" i="9"/>
  <c r="N20" i="9"/>
  <c r="AN25" i="9"/>
  <c r="BU21" i="9"/>
  <c r="AK26" i="9"/>
  <c r="BG9" i="19" s="1"/>
  <c r="Y27" i="9"/>
  <c r="CC28" i="9"/>
  <c r="M24" i="9"/>
  <c r="AD21" i="9"/>
  <c r="AZ4" i="19" s="1"/>
  <c r="AG26" i="9"/>
  <c r="AC23" i="9"/>
  <c r="CG25" i="9"/>
  <c r="DC8" i="19" s="1"/>
  <c r="CL21" i="9"/>
  <c r="AH23" i="9"/>
  <c r="BQ20" i="9"/>
  <c r="AY24" i="9"/>
  <c r="AW27" i="9"/>
  <c r="BS10" i="19" s="1"/>
  <c r="AR28" i="9"/>
  <c r="AH28" i="9"/>
  <c r="CB23" i="9"/>
  <c r="CF25" i="9"/>
  <c r="DB8" i="19" s="1"/>
  <c r="L22" i="9"/>
  <c r="Q24" i="9"/>
  <c r="BF23" i="9"/>
  <c r="BQ25" i="9"/>
  <c r="CR22" i="9"/>
  <c r="AG24" i="9"/>
  <c r="BQ24" i="9"/>
  <c r="Q20" i="9"/>
  <c r="CM25" i="9"/>
  <c r="CK27" i="9"/>
  <c r="CE28" i="9"/>
  <c r="AF28" i="9"/>
  <c r="AC26" i="9"/>
  <c r="G23" i="9"/>
  <c r="U20" i="9"/>
  <c r="J25" i="9"/>
  <c r="AF8" i="19" s="1"/>
  <c r="AK21" i="9"/>
  <c r="CJ27" i="9"/>
  <c r="AD27" i="9"/>
  <c r="CP28" i="9"/>
  <c r="BK20" i="9"/>
  <c r="AH26" i="9"/>
  <c r="X23" i="9"/>
  <c r="AT6" i="19" s="1"/>
  <c r="AP20" i="9"/>
  <c r="M25" i="9"/>
  <c r="AF21" i="9"/>
  <c r="CI26" i="9"/>
  <c r="AE23" i="9"/>
  <c r="BA6" i="19" s="1"/>
  <c r="F25" i="9"/>
  <c r="I21" i="9"/>
  <c r="E26" i="9"/>
  <c r="AA9" i="19" s="1"/>
  <c r="BW23" i="9"/>
  <c r="N27" i="9"/>
  <c r="CA27" i="9"/>
  <c r="AE28" i="9"/>
  <c r="BG20" i="9"/>
  <c r="AA21" i="9"/>
  <c r="AU23" i="9"/>
  <c r="BU20" i="9"/>
  <c r="AV25" i="9"/>
  <c r="BR8" i="19" s="1"/>
  <c r="BO22" i="9"/>
  <c r="G21" i="9"/>
  <c r="BU23" i="9"/>
  <c r="BS25" i="9"/>
  <c r="CI27" i="9"/>
  <c r="N28" i="9"/>
  <c r="BS28" i="9"/>
  <c r="CO11" i="19" s="1"/>
  <c r="AW95" i="9"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36" i="19"/>
  <c r="DA36" i="19"/>
  <c r="CS32" i="19"/>
  <c r="DA32" i="19"/>
  <c r="CS28" i="19"/>
  <c r="DA28" i="19"/>
  <c r="CS24" i="19"/>
  <c r="DA24" i="19"/>
  <c r="CS20" i="19"/>
  <c r="DA20" i="19"/>
  <c r="CS16" i="19"/>
  <c r="DA16" i="19"/>
  <c r="CS12" i="19"/>
  <c r="DA12" i="19"/>
  <c r="DA8" i="19"/>
  <c r="CS35" i="19"/>
  <c r="DA35" i="19"/>
  <c r="CS31" i="19"/>
  <c r="DA31" i="19"/>
  <c r="CS27" i="19"/>
  <c r="DA27" i="19"/>
  <c r="CS23" i="19"/>
  <c r="DA23" i="19"/>
  <c r="CS19" i="19"/>
  <c r="DA19" i="19"/>
  <c r="CS15" i="19"/>
  <c r="DA15" i="19"/>
  <c r="CS11" i="19"/>
  <c r="DA11" i="19"/>
  <c r="CS7" i="19"/>
  <c r="CS34" i="19"/>
  <c r="DA34" i="19"/>
  <c r="CS30" i="19"/>
  <c r="DA30" i="19"/>
  <c r="CS26" i="19"/>
  <c r="DA26" i="19"/>
  <c r="CS22" i="19"/>
  <c r="DA22" i="19"/>
  <c r="CS18" i="19"/>
  <c r="DA18" i="19"/>
  <c r="CS14" i="19"/>
  <c r="DA14" i="19"/>
  <c r="DA10" i="19"/>
  <c r="CQ37" i="19"/>
  <c r="CT37" i="19"/>
  <c r="CQ33" i="19"/>
  <c r="CT33" i="19"/>
  <c r="CQ29" i="19"/>
  <c r="CT29" i="19"/>
  <c r="CQ25" i="19"/>
  <c r="CT25" i="19"/>
  <c r="CQ21" i="19"/>
  <c r="CT21" i="19"/>
  <c r="CQ17" i="19"/>
  <c r="CT17" i="19"/>
  <c r="CQ13" i="19"/>
  <c r="CT13" i="19"/>
  <c r="CQ36" i="19"/>
  <c r="CT36" i="19"/>
  <c r="CQ32" i="19"/>
  <c r="CT32" i="19"/>
  <c r="CQ28" i="19"/>
  <c r="CT28" i="19"/>
  <c r="CQ24" i="19"/>
  <c r="CT24" i="19"/>
  <c r="CQ20" i="19"/>
  <c r="CT20" i="19"/>
  <c r="CQ16" i="19"/>
  <c r="CT16" i="19"/>
  <c r="CQ12" i="19"/>
  <c r="CT12" i="19"/>
  <c r="CT8" i="19"/>
  <c r="CQ35" i="19"/>
  <c r="CT35" i="19"/>
  <c r="CQ31" i="19"/>
  <c r="CT31" i="19"/>
  <c r="CQ27" i="19"/>
  <c r="CT27" i="19"/>
  <c r="CQ23" i="19"/>
  <c r="CT23" i="19"/>
  <c r="CQ19" i="19"/>
  <c r="CT19" i="19"/>
  <c r="CQ15" i="19"/>
  <c r="CT15" i="19"/>
  <c r="CT11" i="19"/>
  <c r="CQ7" i="19"/>
  <c r="CT7" i="19"/>
  <c r="CQ34" i="19"/>
  <c r="CT34" i="19"/>
  <c r="CQ30" i="19"/>
  <c r="CT30" i="19"/>
  <c r="CQ26" i="19"/>
  <c r="CT26" i="19"/>
  <c r="CQ22" i="19"/>
  <c r="CT22" i="19"/>
  <c r="CQ18" i="19"/>
  <c r="CT18" i="19"/>
  <c r="CQ14" i="19"/>
  <c r="CT14" i="19"/>
  <c r="CQ10" i="19"/>
  <c r="CE37" i="19"/>
  <c r="CI37" i="19"/>
  <c r="CE33" i="19"/>
  <c r="CI33" i="19"/>
  <c r="CE29" i="19"/>
  <c r="CI29" i="19"/>
  <c r="CE25" i="19"/>
  <c r="CI25" i="19"/>
  <c r="CE21" i="19"/>
  <c r="CI21" i="19"/>
  <c r="CE17" i="19"/>
  <c r="CI17" i="19"/>
  <c r="CE13" i="19"/>
  <c r="CI13"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AZ3" i="19"/>
  <c r="BA37" i="19"/>
  <c r="AZ37" i="19"/>
  <c r="BA33" i="19"/>
  <c r="AZ33" i="19"/>
  <c r="BA29" i="19"/>
  <c r="AZ29" i="19"/>
  <c r="BA25" i="19"/>
  <c r="AZ25" i="19"/>
  <c r="BA21" i="19"/>
  <c r="AZ21" i="19"/>
  <c r="BA17" i="19"/>
  <c r="AZ17" i="19"/>
  <c r="BA13" i="19"/>
  <c r="AZ13" i="19"/>
  <c r="AZ9" i="19"/>
  <c r="BA5" i="19"/>
  <c r="AZ5" i="19"/>
  <c r="BA36" i="19"/>
  <c r="AZ36" i="19"/>
  <c r="BA32" i="19"/>
  <c r="AZ32" i="19"/>
  <c r="BA28" i="19"/>
  <c r="AZ28" i="19"/>
  <c r="BA24" i="19"/>
  <c r="AZ24" i="19"/>
  <c r="BA20" i="19"/>
  <c r="AZ20" i="19"/>
  <c r="BA16" i="19"/>
  <c r="AZ16" i="19"/>
  <c r="BA12" i="19"/>
  <c r="AZ12" i="19"/>
  <c r="BA8" i="19"/>
  <c r="AZ8" i="19"/>
  <c r="BA4" i="19"/>
  <c r="BA35" i="19"/>
  <c r="AZ35" i="19"/>
  <c r="BA31" i="19"/>
  <c r="AZ31" i="19"/>
  <c r="BA27" i="19"/>
  <c r="AZ27" i="19"/>
  <c r="BA23" i="19"/>
  <c r="AZ23" i="19"/>
  <c r="BA19" i="19"/>
  <c r="AZ19" i="19"/>
  <c r="BA15" i="19"/>
  <c r="AZ15" i="19"/>
  <c r="BA11" i="19"/>
  <c r="AZ11" i="19"/>
  <c r="BA34" i="19"/>
  <c r="AZ34" i="19"/>
  <c r="BA30" i="19"/>
  <c r="AZ30" i="19"/>
  <c r="BA26" i="19"/>
  <c r="AZ26" i="19"/>
  <c r="BA22" i="19"/>
  <c r="AZ22" i="19"/>
  <c r="BA18" i="19"/>
  <c r="AZ18" i="19"/>
  <c r="BA14" i="19"/>
  <c r="AZ14" i="19"/>
  <c r="BA10" i="19"/>
  <c r="AZ10" i="19"/>
  <c r="BA3" i="19"/>
  <c r="AF37" i="19"/>
  <c r="AE37" i="19"/>
  <c r="AF33" i="19"/>
  <c r="AE33" i="19"/>
  <c r="AF29" i="19"/>
  <c r="AE29" i="19"/>
  <c r="AF25" i="19"/>
  <c r="AE25" i="19"/>
  <c r="AF21" i="19"/>
  <c r="AE21" i="19"/>
  <c r="AF17" i="19"/>
  <c r="AE17" i="19"/>
  <c r="AF13" i="19"/>
  <c r="AE13" i="19"/>
  <c r="AE9" i="19"/>
  <c r="AF36" i="19"/>
  <c r="AE36" i="19"/>
  <c r="AF32" i="19"/>
  <c r="AE32" i="19"/>
  <c r="AF28" i="19"/>
  <c r="AE28" i="19"/>
  <c r="AF24" i="19"/>
  <c r="AE24" i="19"/>
  <c r="AF20" i="19"/>
  <c r="AE20" i="19"/>
  <c r="AF16" i="19"/>
  <c r="AE16" i="19"/>
  <c r="AF12" i="19"/>
  <c r="AE12" i="19"/>
  <c r="AF35" i="19"/>
  <c r="AE35" i="19"/>
  <c r="AF31" i="19"/>
  <c r="AE31" i="19"/>
  <c r="AF27" i="19"/>
  <c r="AE27" i="19"/>
  <c r="AF23" i="19"/>
  <c r="AE23" i="19"/>
  <c r="AF19" i="19"/>
  <c r="AE19" i="19"/>
  <c r="AF15" i="19"/>
  <c r="AE15"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35" i="19"/>
  <c r="AG35" i="19"/>
  <c r="AH31" i="19"/>
  <c r="AG31" i="19"/>
  <c r="AH27" i="19"/>
  <c r="AG27" i="19"/>
  <c r="AH23" i="19"/>
  <c r="AG23" i="19"/>
  <c r="AH19" i="19"/>
  <c r="AG19" i="19"/>
  <c r="AH15" i="19"/>
  <c r="AG15"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K7" i="19"/>
  <c r="AL34" i="19"/>
  <c r="AK34" i="19"/>
  <c r="AL30" i="19"/>
  <c r="AK30" i="19"/>
  <c r="AL26" i="19"/>
  <c r="AK26" i="19"/>
  <c r="AL22" i="19"/>
  <c r="AK22" i="19"/>
  <c r="AL18" i="19"/>
  <c r="AK18" i="19"/>
  <c r="AL14" i="19"/>
  <c r="AK14"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M11"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R10" i="19"/>
  <c r="BU10" i="19"/>
  <c r="BX10" i="19"/>
  <c r="CA10" i="19"/>
  <c r="CO10" i="19"/>
  <c r="DD10" i="19"/>
  <c r="DH10" i="19"/>
  <c r="BG10" i="19"/>
  <c r="BO10" i="19"/>
  <c r="BW10" i="19"/>
  <c r="CH10" i="19"/>
  <c r="BM10" i="19"/>
  <c r="BV10" i="19"/>
  <c r="BZ10" i="19"/>
  <c r="CM10" i="19"/>
  <c r="CR10" i="19"/>
  <c r="DF10" i="19"/>
  <c r="BT10" i="19"/>
  <c r="CN10" i="19"/>
  <c r="DE10" i="19"/>
  <c r="CC10" i="19"/>
  <c r="CP10" i="19"/>
  <c r="CW10" i="19"/>
  <c r="DG10" i="19"/>
  <c r="BP10" i="19"/>
  <c r="BY10" i="19"/>
  <c r="CJ10" i="19"/>
  <c r="CZ10" i="19"/>
  <c r="DI10" i="19"/>
  <c r="BI10" i="19"/>
  <c r="BQ10" i="19"/>
  <c r="CL10" i="19"/>
  <c r="DB10" i="19"/>
  <c r="DJ10" i="19"/>
  <c r="DN10" i="19"/>
  <c r="AX10" i="19"/>
  <c r="BD10" i="19"/>
  <c r="AP10" i="19"/>
  <c r="AA10" i="19"/>
  <c r="BE10" i="19"/>
  <c r="DK10" i="19"/>
  <c r="AY10" i="19"/>
  <c r="BB10" i="19"/>
  <c r="DM10" i="19"/>
  <c r="BC10" i="19"/>
  <c r="AR10" i="19"/>
  <c r="AB10" i="19"/>
  <c r="AU10" i="19"/>
  <c r="AD10" i="19"/>
  <c r="AC10" i="19"/>
  <c r="AS10"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Z9" i="19"/>
  <c r="CC9" i="19"/>
  <c r="CR9" i="19"/>
  <c r="CW9" i="19"/>
  <c r="BS9" i="19"/>
  <c r="BV9" i="19"/>
  <c r="CA9" i="19"/>
  <c r="CG9" i="19"/>
  <c r="CM9" i="19"/>
  <c r="CU9" i="19"/>
  <c r="CY9" i="19"/>
  <c r="DE9" i="19"/>
  <c r="DI9" i="19"/>
  <c r="BI9" i="19"/>
  <c r="BO9" i="19"/>
  <c r="CH9" i="19"/>
  <c r="CX9" i="19"/>
  <c r="BH9" i="19"/>
  <c r="CD9" i="19"/>
  <c r="DD9" i="19"/>
  <c r="BJ9" i="19"/>
  <c r="CK9" i="19"/>
  <c r="CZ9" i="19"/>
  <c r="BK9" i="19"/>
  <c r="BX9" i="19"/>
  <c r="BF9" i="19"/>
  <c r="BP9" i="19"/>
  <c r="DG9" i="19"/>
  <c r="BR9" i="19"/>
  <c r="CB9" i="19"/>
  <c r="CV9" i="19"/>
  <c r="DH9" i="19"/>
  <c r="AW9" i="19"/>
  <c r="BC9" i="19"/>
  <c r="AT9" i="19"/>
  <c r="AB9" i="19"/>
  <c r="DN9" i="19"/>
  <c r="AY9" i="19"/>
  <c r="DJ9" i="19"/>
  <c r="BB9" i="19"/>
  <c r="DL9" i="19"/>
  <c r="BD9" i="19"/>
  <c r="DM9" i="19"/>
  <c r="AX9" i="19"/>
  <c r="AD9" i="19"/>
  <c r="AU9" i="19"/>
  <c r="AV9" i="19"/>
  <c r="AQ9" i="19"/>
  <c r="AR9" i="19"/>
  <c r="AS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U8" i="19"/>
  <c r="BX8" i="19"/>
  <c r="CA8" i="19"/>
  <c r="CD8" i="19"/>
  <c r="CO8" i="19"/>
  <c r="CU8" i="19"/>
  <c r="DH8" i="19"/>
  <c r="CC8" i="19"/>
  <c r="CL8" i="19"/>
  <c r="CW8" i="19"/>
  <c r="BV8" i="19"/>
  <c r="CJ8" i="19"/>
  <c r="CR8" i="19"/>
  <c r="CZ8" i="19"/>
  <c r="DI8" i="19"/>
  <c r="BO8" i="19"/>
  <c r="BT8" i="19"/>
  <c r="BZ8" i="19"/>
  <c r="CH8" i="19"/>
  <c r="CP8" i="19"/>
  <c r="DG8" i="19"/>
  <c r="BK8" i="19"/>
  <c r="BW8" i="19"/>
  <c r="CM8" i="19"/>
  <c r="BM8" i="19"/>
  <c r="BY8" i="19"/>
  <c r="CN8" i="19"/>
  <c r="BG8" i="19"/>
  <c r="CB8" i="19"/>
  <c r="CV8" i="19"/>
  <c r="CG8" i="19"/>
  <c r="DL8" i="19"/>
  <c r="BB8" i="19"/>
  <c r="AP8" i="19"/>
  <c r="AT8" i="19"/>
  <c r="AC8" i="19"/>
  <c r="DN8" i="19"/>
  <c r="BC8" i="19"/>
  <c r="DJ8" i="19"/>
  <c r="AW8" i="19"/>
  <c r="BD8" i="19"/>
  <c r="DK8" i="19"/>
  <c r="AX8" i="19"/>
  <c r="BE8" i="19"/>
  <c r="DM8" i="19"/>
  <c r="AY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W11" i="19"/>
  <c r="BZ11" i="19"/>
  <c r="CC11" i="19"/>
  <c r="CJ11" i="19"/>
  <c r="CN11" i="19"/>
  <c r="CR11" i="19"/>
  <c r="CW11" i="19"/>
  <c r="DB11" i="19"/>
  <c r="BG11" i="19"/>
  <c r="BJ11" i="19"/>
  <c r="BO11" i="19"/>
  <c r="BX11" i="19"/>
  <c r="CH11" i="19"/>
  <c r="CZ11" i="19"/>
  <c r="DH11" i="19"/>
  <c r="BK11" i="19"/>
  <c r="BR11" i="19"/>
  <c r="BV11" i="19"/>
  <c r="CB11" i="19"/>
  <c r="CL11" i="19"/>
  <c r="CU11" i="19"/>
  <c r="BH11" i="19"/>
  <c r="BS11" i="19"/>
  <c r="BY11" i="19"/>
  <c r="CD11" i="19"/>
  <c r="CM11" i="19"/>
  <c r="DE11" i="19"/>
  <c r="BN11" i="19"/>
  <c r="CG11" i="19"/>
  <c r="CP11" i="19"/>
  <c r="CX11" i="19"/>
  <c r="DF11" i="19"/>
  <c r="BF11" i="19"/>
  <c r="CA11" i="19"/>
  <c r="CY11" i="19"/>
  <c r="DM11" i="19"/>
  <c r="AY11" i="19"/>
  <c r="BE11" i="19"/>
  <c r="AP11" i="19"/>
  <c r="AT11" i="19"/>
  <c r="DJ11" i="19"/>
  <c r="BC11" i="19"/>
  <c r="DK11" i="19"/>
  <c r="AW11" i="19"/>
  <c r="BD11" i="19"/>
  <c r="DL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O7" i="19"/>
  <c r="DB7" i="19"/>
  <c r="BW7" i="19"/>
  <c r="CC7" i="19"/>
  <c r="CM7" i="19"/>
  <c r="CU7" i="19"/>
  <c r="DD7" i="19"/>
  <c r="BF7" i="19"/>
  <c r="BV7" i="19"/>
  <c r="CA7" i="19"/>
  <c r="CK7" i="19"/>
  <c r="CR7" i="19"/>
  <c r="CZ7" i="19"/>
  <c r="BM7" i="19"/>
  <c r="CN7" i="19"/>
  <c r="DF7" i="19"/>
  <c r="BN7" i="19"/>
  <c r="BZ7" i="19"/>
  <c r="DG7" i="19"/>
  <c r="BH7" i="19"/>
  <c r="CD7" i="19"/>
  <c r="CW7" i="19"/>
  <c r="BU7" i="19"/>
  <c r="CH7" i="19"/>
  <c r="CX7" i="19"/>
  <c r="DM7" i="19"/>
  <c r="AY7" i="19"/>
  <c r="BE7" i="19"/>
  <c r="AP7" i="19"/>
  <c r="AT7" i="19"/>
  <c r="AW7" i="19"/>
  <c r="DJ7" i="19"/>
  <c r="AX7" i="19"/>
  <c r="DK7" i="19"/>
  <c r="BB7" i="19"/>
  <c r="DL7" i="19"/>
  <c r="BC7" i="19"/>
  <c r="AD7" i="19"/>
  <c r="AQ7" i="19"/>
  <c r="AR7" i="19"/>
  <c r="AA7" i="19"/>
  <c r="AS7" i="19"/>
  <c r="AC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P8" i="9"/>
  <c r="P9" i="9"/>
  <c r="L8" i="9"/>
  <c r="L10" i="9"/>
  <c r="L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G704" i="14"/>
  <c r="CB55" i="9"/>
  <c r="I134" i="15"/>
  <c r="AC55" i="9"/>
  <c r="F172" i="15"/>
  <c r="F210" i="14"/>
  <c r="AV55" i="9"/>
  <c r="G172" i="14"/>
  <c r="I400" i="14"/>
  <c r="J628" i="14"/>
  <c r="AO55" i="9"/>
  <c r="F1882" i="22"/>
  <c r="J1692" i="21"/>
  <c r="I134" i="14"/>
  <c r="AD55" i="9"/>
  <c r="P55" i="9"/>
  <c r="CL55" i="9"/>
  <c r="F400" i="14"/>
  <c r="CH55" i="9"/>
  <c r="H1692" i="21"/>
  <c r="BV55" i="9"/>
  <c r="V55" i="9"/>
  <c r="BZ55" i="9"/>
  <c r="BP55" i="9"/>
  <c r="AY55" i="9"/>
  <c r="I704" i="14"/>
  <c r="CI55" i="9"/>
  <c r="F666" i="14"/>
  <c r="I210" i="14"/>
  <c r="F704" i="14"/>
  <c r="AQ55" i="9"/>
  <c r="F96" i="14"/>
  <c r="F362" i="14"/>
  <c r="J210" i="14"/>
  <c r="BI55" i="9"/>
  <c r="G362" i="14"/>
  <c r="I248" i="14"/>
  <c r="BW55" i="9"/>
  <c r="J362" i="14"/>
  <c r="CE55" i="9"/>
  <c r="I514" i="14"/>
  <c r="R55" i="9"/>
  <c r="G628" i="14"/>
  <c r="G96" i="14"/>
  <c r="CC55" i="9"/>
  <c r="BM55" i="9"/>
  <c r="G1692" i="21"/>
  <c r="AZ55" i="9"/>
  <c r="G1882" i="22"/>
  <c r="BU55" i="9"/>
  <c r="BJ55" i="9"/>
  <c r="BS55" i="9"/>
  <c r="H704" i="14"/>
  <c r="J134" i="15"/>
  <c r="G55" i="9"/>
  <c r="BC55" i="9"/>
  <c r="G210" i="14"/>
  <c r="F1692" i="21"/>
  <c r="J1882" i="22"/>
  <c r="CM55" i="9"/>
  <c r="J248" i="14"/>
  <c r="CP55" i="9"/>
  <c r="J286" i="14"/>
  <c r="G172" i="15"/>
  <c r="J324" i="14"/>
  <c r="CF55" i="9"/>
  <c r="CD55" i="9"/>
  <c r="Q55" i="9"/>
  <c r="J96" i="14"/>
  <c r="Y55" i="9"/>
  <c r="AR55" i="9"/>
  <c r="N55" i="9"/>
  <c r="G134" i="15"/>
  <c r="BB55" i="9"/>
  <c r="I324" i="14"/>
  <c r="H210" i="14"/>
  <c r="F55" i="9"/>
  <c r="AB55" i="9"/>
  <c r="F324" i="14"/>
  <c r="F286" i="14"/>
  <c r="J134" i="14"/>
  <c r="BG55" i="9"/>
  <c r="H96" i="14"/>
  <c r="CO55" i="9"/>
  <c r="BQ55" i="9"/>
  <c r="H172" i="14"/>
  <c r="BO55" i="9"/>
  <c r="BD55" i="9"/>
  <c r="F172" i="14"/>
  <c r="J55" i="9"/>
  <c r="E55" i="9"/>
  <c r="BX55" i="9"/>
  <c r="J172" i="14"/>
  <c r="AU55" i="9"/>
  <c r="H1882" i="22"/>
  <c r="H400" i="14"/>
  <c r="CK55" i="9"/>
  <c r="F134" i="15"/>
  <c r="H134" i="14"/>
  <c r="J172" i="15"/>
  <c r="AW55" i="9"/>
  <c r="AK55" i="9"/>
  <c r="H172" i="15"/>
  <c r="CJ55" i="9"/>
  <c r="BH55" i="9"/>
  <c r="AL55" i="9"/>
  <c r="H362" i="14"/>
  <c r="J514" i="14"/>
  <c r="AI55" i="9"/>
  <c r="BT55" i="9"/>
  <c r="F514" i="14"/>
  <c r="CN55" i="9"/>
  <c r="G324" i="14"/>
  <c r="G514" i="14"/>
  <c r="BN55" i="9"/>
  <c r="BA55" i="9"/>
  <c r="I172" i="14"/>
  <c r="H286" i="14"/>
  <c r="AT55" i="9"/>
  <c r="BL55" i="9"/>
  <c r="H134" i="15"/>
  <c r="F248" i="14"/>
  <c r="CQ55" i="9"/>
  <c r="CR55" i="9"/>
  <c r="I96" i="14"/>
  <c r="BY55" i="9"/>
  <c r="H55" i="9"/>
  <c r="AS55" i="9"/>
  <c r="AF55" i="9"/>
  <c r="F628" i="14"/>
  <c r="BK55" i="9"/>
  <c r="T55" i="9"/>
  <c r="F134" i="14"/>
  <c r="U55" i="9"/>
  <c r="AH55" i="9"/>
  <c r="G400" i="14"/>
  <c r="H666" i="14"/>
  <c r="I1882" i="22"/>
  <c r="I628" i="14"/>
  <c r="J400" i="14"/>
  <c r="AP55" i="9"/>
  <c r="I362" i="14"/>
  <c r="H514" i="14"/>
  <c r="I286" i="14"/>
  <c r="X55" i="9"/>
  <c r="G134" i="14"/>
  <c r="G666" i="14"/>
  <c r="Z55" i="9"/>
  <c r="BF55" i="9"/>
  <c r="AE55" i="9"/>
  <c r="AG55" i="9"/>
  <c r="I55" i="9"/>
  <c r="W55" i="9"/>
  <c r="AM55" i="9"/>
  <c r="J704" i="14"/>
  <c r="AX55" i="9"/>
  <c r="H324" i="14"/>
  <c r="G248" i="14"/>
  <c r="G286" i="14"/>
  <c r="BR55" i="9"/>
  <c r="M55" i="9"/>
  <c r="H628" i="14"/>
  <c r="L55" i="9"/>
  <c r="H248" i="14"/>
  <c r="AA55" i="9"/>
  <c r="I1692" i="21"/>
  <c r="I666" i="14"/>
  <c r="O55" i="9"/>
  <c r="AJ55" i="9"/>
  <c r="J666" i="14"/>
  <c r="K55" i="9"/>
  <c r="CA55" i="9"/>
  <c r="I172" i="15"/>
  <c r="CG55" i="9"/>
  <c r="BE55" i="9"/>
  <c r="S55" i="9"/>
  <c r="AN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F1540" i="22"/>
  <c r="I1540" i="22"/>
  <c r="H970" i="21"/>
  <c r="H1654" i="21"/>
  <c r="G1578" i="22"/>
  <c r="F1844" i="22"/>
  <c r="J1654" i="21"/>
  <c r="H1616" i="21"/>
  <c r="I1844" i="22"/>
  <c r="I1426" i="22"/>
  <c r="G1122" i="22"/>
  <c r="F1616" i="21"/>
  <c r="H970" i="22"/>
  <c r="I970" i="21"/>
  <c r="J1350" i="21"/>
  <c r="J970" i="21"/>
  <c r="G1654" i="21"/>
  <c r="F1578" i="22"/>
  <c r="G1008" i="22"/>
  <c r="G970" i="21"/>
  <c r="H1540" i="22"/>
  <c r="G1616" i="21"/>
  <c r="I970" i="22"/>
  <c r="H1122" i="22"/>
  <c r="H1578" i="22"/>
  <c r="I1008" i="22"/>
  <c r="F970" i="21"/>
  <c r="F1350" i="21"/>
  <c r="G1350" i="21"/>
  <c r="I1350" i="21"/>
  <c r="I1654" i="21"/>
  <c r="F1008" i="22"/>
  <c r="J1578" i="22"/>
  <c r="I1616" i="21"/>
  <c r="F970" i="22"/>
  <c r="G1540" i="22"/>
  <c r="H1844" i="22"/>
  <c r="J1426" i="22"/>
  <c r="H1008" i="22"/>
  <c r="I1578" i="22"/>
  <c r="J1008" i="22"/>
  <c r="G1844" i="22"/>
  <c r="H1426" i="22"/>
  <c r="F1426" i="22"/>
  <c r="I1122" i="22"/>
  <c r="F1654" i="21"/>
  <c r="F1122" i="22"/>
  <c r="J1540" i="22"/>
  <c r="J1844" i="22"/>
  <c r="J1122" i="22"/>
  <c r="G970" i="22"/>
  <c r="H1350" i="21"/>
  <c r="G1426" i="22"/>
  <c r="J970" i="22"/>
  <c r="J1616"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G58" i="14"/>
  <c r="H210" i="5"/>
  <c r="I210" i="5"/>
  <c r="F324" i="15"/>
  <c r="I1312" i="21"/>
  <c r="G856" i="22"/>
  <c r="F1388" i="21"/>
  <c r="H96" i="5"/>
  <c r="I248" i="15"/>
  <c r="G666" i="21"/>
  <c r="H1160" i="22"/>
  <c r="F58" i="18"/>
  <c r="F1198" i="21"/>
  <c r="J1122" i="21"/>
  <c r="I1768" i="22"/>
  <c r="F856" i="21"/>
  <c r="I1464" i="21"/>
  <c r="I514" i="22"/>
  <c r="H1464" i="21"/>
  <c r="J1768" i="22"/>
  <c r="G96" i="5"/>
  <c r="G856" i="21"/>
  <c r="J1388" i="21"/>
  <c r="G210" i="22"/>
  <c r="F818" i="22"/>
  <c r="J362" i="22"/>
  <c r="H1806" i="22"/>
  <c r="F1236" i="22"/>
  <c r="H780" i="22"/>
  <c r="F58" i="21"/>
  <c r="H324" i="21"/>
  <c r="I1274" i="21"/>
  <c r="I476" i="14"/>
  <c r="J552" i="22"/>
  <c r="J58" i="14"/>
  <c r="G20" i="21"/>
  <c r="G1464" i="21"/>
  <c r="H362" i="22"/>
  <c r="H1502" i="21"/>
  <c r="J1388" i="22"/>
  <c r="I1008" i="21"/>
  <c r="H476" i="21"/>
  <c r="J1046" i="21"/>
  <c r="G438" i="22"/>
  <c r="G210" i="21"/>
  <c r="J856" i="21"/>
  <c r="I1464" i="22"/>
  <c r="G1312" i="22"/>
  <c r="H1008" i="21"/>
  <c r="I96" i="5"/>
  <c r="F134" i="21"/>
  <c r="I1160" i="21"/>
  <c r="I894" i="21"/>
  <c r="J1312" i="21"/>
  <c r="J20" i="22"/>
  <c r="F1312" i="21"/>
  <c r="H96" i="15"/>
  <c r="I1426" i="21"/>
  <c r="G1502" i="21"/>
  <c r="H476" i="22"/>
  <c r="F1160" i="22"/>
  <c r="J58" i="5"/>
  <c r="G742" i="21"/>
  <c r="J1084" i="21"/>
  <c r="I742" i="22"/>
  <c r="J1502" i="21"/>
  <c r="I1692" i="22"/>
  <c r="G514" i="22"/>
  <c r="H58" i="22"/>
  <c r="I932" i="21"/>
  <c r="J780" i="22"/>
  <c r="F818" i="21"/>
  <c r="I818" i="21"/>
  <c r="H1730" i="22"/>
  <c r="H932" i="21"/>
  <c r="F704" i="22"/>
  <c r="J324" i="15"/>
  <c r="I666" i="21"/>
  <c r="J1616" i="22"/>
  <c r="H1046" i="21"/>
  <c r="G1388" i="22"/>
  <c r="I1312" i="22"/>
  <c r="F932" i="21"/>
  <c r="F780" i="21"/>
  <c r="G704" i="21"/>
  <c r="J1350" i="22"/>
  <c r="J324" i="21"/>
  <c r="H20" i="22"/>
  <c r="I20" i="15"/>
  <c r="G1160" i="22"/>
  <c r="F552" i="21"/>
  <c r="G1540" i="21"/>
  <c r="F856" i="22"/>
  <c r="H780" i="21"/>
  <c r="I1730" i="22"/>
  <c r="F894" i="22"/>
  <c r="I210" i="15"/>
  <c r="I20" i="13"/>
  <c r="J1274" i="21"/>
  <c r="J590" i="14"/>
  <c r="G628" i="22"/>
  <c r="F96" i="5"/>
  <c r="F742" i="22"/>
  <c r="F248" i="22"/>
  <c r="J172" i="5"/>
  <c r="J96" i="21"/>
  <c r="H58" i="14"/>
  <c r="J134" i="5"/>
  <c r="G286" i="15"/>
  <c r="F172" i="21"/>
  <c r="F58" i="13"/>
  <c r="H1274" i="22"/>
  <c r="F20" i="5"/>
  <c r="G96" i="21"/>
  <c r="F20" i="15"/>
  <c r="F1312" i="22"/>
  <c r="I286" i="15"/>
  <c r="G172" i="5"/>
  <c r="H514" i="22"/>
  <c r="G1084" i="22"/>
  <c r="H1160" i="21"/>
  <c r="H400" i="21"/>
  <c r="J210" i="21"/>
  <c r="G248" i="22"/>
  <c r="J476" i="21"/>
  <c r="J476" i="22"/>
  <c r="F134" i="18"/>
  <c r="H1654" i="22"/>
  <c r="G1730" i="22"/>
  <c r="H1388" i="22"/>
  <c r="G96" i="13"/>
  <c r="I1616" i="22"/>
  <c r="G1046" i="22"/>
  <c r="F1122" i="21"/>
  <c r="G704" i="22"/>
  <c r="J286" i="22"/>
  <c r="J552" i="21"/>
  <c r="I324" i="21"/>
  <c r="G894" i="22"/>
  <c r="F1046" i="22"/>
  <c r="I514" i="21"/>
  <c r="H96" i="21"/>
  <c r="J818" i="22"/>
  <c r="F20" i="21"/>
  <c r="G552" i="22"/>
  <c r="G1160" i="21"/>
  <c r="F1008" i="21"/>
  <c r="G20" i="14"/>
  <c r="F590" i="14"/>
  <c r="G894" i="21"/>
  <c r="H400" i="22"/>
  <c r="I1274" i="22"/>
  <c r="I58" i="15"/>
  <c r="H932" i="22"/>
  <c r="I438" i="14"/>
  <c r="J590" i="21"/>
  <c r="G1616" i="22"/>
  <c r="H172" i="22"/>
  <c r="J400" i="22"/>
  <c r="J210" i="15"/>
  <c r="I1388" i="22"/>
  <c r="F1464" i="22"/>
  <c r="G818" i="21"/>
  <c r="H134" i="21"/>
  <c r="G248" i="21"/>
  <c r="G96" i="22"/>
  <c r="H172" i="5"/>
  <c r="I438" i="22"/>
  <c r="J20" i="15"/>
  <c r="J324" i="22"/>
  <c r="G476" i="14"/>
  <c r="J590" i="22"/>
  <c r="I172" i="5"/>
  <c r="H248" i="15"/>
  <c r="J1312" i="22"/>
  <c r="F476" i="21"/>
  <c r="H1426" i="21"/>
  <c r="J96" i="15"/>
  <c r="F286" i="22"/>
  <c r="H1692" i="22"/>
  <c r="F324" i="21"/>
  <c r="G1768" i="22"/>
  <c r="I628" i="22"/>
  <c r="H438" i="14"/>
  <c r="H628" i="21"/>
  <c r="H1578" i="21"/>
  <c r="I856" i="21"/>
  <c r="F210" i="21"/>
  <c r="I134" i="5"/>
  <c r="F438" i="14"/>
  <c r="I1046" i="22"/>
  <c r="G58" i="22"/>
  <c r="I58" i="13"/>
  <c r="J1274" i="22"/>
  <c r="J818" i="21"/>
  <c r="F1426" i="21"/>
  <c r="H58" i="15"/>
  <c r="F96" i="18"/>
  <c r="J552" i="14"/>
  <c r="J1236" i="22"/>
  <c r="H1464" i="22"/>
  <c r="H666" i="22"/>
  <c r="G400" i="22"/>
  <c r="F400" i="21"/>
  <c r="H856" i="22"/>
  <c r="H856" i="21"/>
  <c r="I20" i="22"/>
  <c r="J1198" i="22"/>
  <c r="I20" i="18"/>
  <c r="F1540" i="21"/>
  <c r="J1426" i="21"/>
  <c r="J58" i="21"/>
  <c r="I1084" i="22"/>
  <c r="G172" i="22"/>
  <c r="I134" i="18"/>
  <c r="G1236" i="21"/>
  <c r="J514" i="21"/>
  <c r="I172" i="22"/>
  <c r="I362" i="21"/>
  <c r="F1654" i="22"/>
  <c r="H1388" i="21"/>
  <c r="H628" i="22"/>
  <c r="G58" i="15"/>
  <c r="G362" i="22"/>
  <c r="J628" i="22"/>
  <c r="H552" i="14"/>
  <c r="J248" i="21"/>
  <c r="G1274" i="21"/>
  <c r="H1274" i="21"/>
  <c r="G20" i="15"/>
  <c r="G514" i="21"/>
  <c r="F400" i="22"/>
  <c r="G20" i="22"/>
  <c r="J134" i="18"/>
  <c r="I58" i="14"/>
  <c r="G20" i="13"/>
  <c r="F1198" i="22"/>
  <c r="I96" i="22"/>
  <c r="J1236" i="21"/>
  <c r="H742" i="22"/>
  <c r="F210" i="22"/>
  <c r="H20" i="15"/>
  <c r="F172" i="18"/>
  <c r="I1502" i="22"/>
  <c r="J20" i="13"/>
  <c r="I20" i="14"/>
  <c r="J58" i="13"/>
  <c r="G666" i="22"/>
  <c r="H324" i="22"/>
  <c r="G1236" i="22"/>
  <c r="J1084" i="22"/>
  <c r="I552" i="14"/>
  <c r="I1160" i="22"/>
  <c r="J1502" i="22"/>
  <c r="F1616" i="22"/>
  <c r="J514" i="22"/>
  <c r="J1540" i="21"/>
  <c r="J894" i="21"/>
  <c r="J932" i="22"/>
  <c r="J1578" i="21"/>
  <c r="H1084" i="21"/>
  <c r="F1274" i="21"/>
  <c r="I590" i="21"/>
  <c r="I58" i="21"/>
  <c r="I666" i="22"/>
  <c r="F628" i="21"/>
  <c r="J248" i="22"/>
  <c r="J20" i="5"/>
  <c r="F666" i="22"/>
  <c r="F590" i="21"/>
  <c r="H894" i="21"/>
  <c r="F58" i="14"/>
  <c r="F552" i="22"/>
  <c r="H1084" i="22"/>
  <c r="F476" i="22"/>
  <c r="J780" i="21"/>
  <c r="H20" i="13"/>
  <c r="H362" i="21"/>
  <c r="H324" i="15"/>
  <c r="F1350" i="22"/>
  <c r="G476" i="22"/>
  <c r="I1198" i="21"/>
  <c r="G590" i="21"/>
  <c r="J286" i="15"/>
  <c r="F514" i="21"/>
  <c r="J96" i="5"/>
  <c r="G172" i="21"/>
  <c r="I400" i="21"/>
  <c r="H20" i="18"/>
  <c r="H248" i="21"/>
  <c r="H1502" i="22"/>
  <c r="F1730" i="22"/>
  <c r="J58" i="18"/>
  <c r="F742" i="21"/>
  <c r="G1426" i="21"/>
  <c r="H134" i="22"/>
  <c r="H1198" i="22"/>
  <c r="J172" i="21"/>
  <c r="J894" i="22"/>
  <c r="G1274" i="22"/>
  <c r="H590" i="14"/>
  <c r="H476" i="14"/>
  <c r="G20" i="18"/>
  <c r="J438" i="14"/>
  <c r="G742" i="22"/>
  <c r="F894" i="21"/>
  <c r="J1046" i="22"/>
  <c r="H1236" i="22"/>
  <c r="I324" i="15"/>
  <c r="I780" i="21"/>
  <c r="H20" i="14"/>
  <c r="F1502" i="22"/>
  <c r="H438" i="22"/>
  <c r="G286" i="22"/>
  <c r="F514" i="22"/>
  <c r="J856" i="22"/>
  <c r="I134" i="22"/>
  <c r="H704" i="21"/>
  <c r="G172" i="18"/>
  <c r="H1312" i="21"/>
  <c r="I1540" i="21"/>
  <c r="I58" i="5"/>
  <c r="F362" i="22"/>
  <c r="I628" i="21"/>
  <c r="I1806" i="22"/>
  <c r="J96" i="13"/>
  <c r="I20" i="5"/>
  <c r="H286" i="21"/>
  <c r="J362" i="21"/>
  <c r="F704" i="21"/>
  <c r="J1198" i="21"/>
  <c r="I1046" i="21"/>
  <c r="F362" i="21"/>
  <c r="H96" i="18"/>
  <c r="G1692" i="22"/>
  <c r="F58" i="22"/>
  <c r="F248" i="15"/>
  <c r="G932" i="22"/>
  <c r="J704" i="21"/>
  <c r="F20" i="14"/>
  <c r="I818" i="22"/>
  <c r="F96" i="21"/>
  <c r="G438" i="21"/>
  <c r="J134" i="22"/>
  <c r="I780" i="22"/>
  <c r="F1046" i="21"/>
  <c r="G1578" i="21"/>
  <c r="H590" i="22"/>
  <c r="J210" i="5"/>
  <c r="H58" i="21"/>
  <c r="I590" i="22"/>
  <c r="J438" i="21"/>
  <c r="G780" i="21"/>
  <c r="J134" i="21"/>
  <c r="G324" i="21"/>
  <c r="J1008" i="21"/>
  <c r="I438" i="21"/>
  <c r="G628" i="21"/>
  <c r="G324" i="22"/>
  <c r="F1806" i="22"/>
  <c r="J172" i="22"/>
  <c r="I96" i="18"/>
  <c r="F1084" i="21"/>
  <c r="I856" i="22"/>
  <c r="F628" i="22"/>
  <c r="H96" i="13"/>
  <c r="I172" i="18"/>
  <c r="I96" i="13"/>
  <c r="I476" i="22"/>
  <c r="I1122" i="21"/>
  <c r="H210" i="15"/>
  <c r="F96" i="22"/>
  <c r="H1540" i="21"/>
  <c r="I362" i="22"/>
  <c r="I742" i="21"/>
  <c r="I248" i="21"/>
  <c r="G1502" i="22"/>
  <c r="G1654" i="22"/>
  <c r="H96" i="22"/>
  <c r="G324" i="15"/>
  <c r="J210" i="22"/>
  <c r="F1388" i="22"/>
  <c r="H818" i="22"/>
  <c r="I704" i="22"/>
  <c r="F96" i="15"/>
  <c r="I1236" i="22"/>
  <c r="H1122" i="21"/>
  <c r="J96" i="22"/>
  <c r="I1654" i="22"/>
  <c r="F210" i="5"/>
  <c r="H1198" i="21"/>
  <c r="G932" i="21"/>
  <c r="H58" i="13"/>
  <c r="H58" i="5"/>
  <c r="H248" i="22"/>
  <c r="G1350" i="22"/>
  <c r="J58" i="22"/>
  <c r="H666" i="21"/>
  <c r="I1388" i="21"/>
  <c r="I210" i="22"/>
  <c r="J20" i="18"/>
  <c r="I286" i="21"/>
  <c r="H552" i="22"/>
  <c r="G818" i="22"/>
  <c r="F58" i="5"/>
  <c r="J1160" i="22"/>
  <c r="I96" i="21"/>
  <c r="F1502" i="21"/>
  <c r="H134" i="5"/>
  <c r="G780" i="22"/>
  <c r="H514" i="21"/>
  <c r="I134" i="21"/>
  <c r="J1160" i="21"/>
  <c r="I1502" i="21"/>
  <c r="F1692" i="22"/>
  <c r="G96" i="15"/>
  <c r="F780" i="22"/>
  <c r="F1464" i="21"/>
  <c r="J286" i="21"/>
  <c r="G400" i="21"/>
  <c r="F1768" i="22"/>
  <c r="H742" i="21"/>
  <c r="H20" i="5"/>
  <c r="G1806" i="22"/>
  <c r="F210" i="15"/>
  <c r="H1236" i="21"/>
  <c r="J742" i="22"/>
  <c r="I932" i="22"/>
  <c r="G58" i="21"/>
  <c r="I1198" i="22"/>
  <c r="I248" i="22"/>
  <c r="F96" i="13"/>
  <c r="J58" i="15"/>
  <c r="G1122" i="21"/>
  <c r="G210" i="5"/>
  <c r="J172" i="18"/>
  <c r="F590" i="22"/>
  <c r="F20" i="22"/>
  <c r="H894" i="22"/>
  <c r="F438" i="22"/>
  <c r="G1312" i="21"/>
  <c r="I172" i="21"/>
  <c r="F58" i="15"/>
  <c r="H1616" i="22"/>
  <c r="F134" i="5"/>
  <c r="J20" i="14"/>
  <c r="F476" i="14"/>
  <c r="G1008" i="21"/>
  <c r="G1464" i="22"/>
  <c r="J932" i="21"/>
  <c r="J400" i="21"/>
  <c r="F286" i="15"/>
  <c r="J1464" i="21"/>
  <c r="F286" i="21"/>
  <c r="I58" i="22"/>
  <c r="F248" i="21"/>
  <c r="H552" i="21"/>
  <c r="H20" i="21"/>
  <c r="G476" i="21"/>
  <c r="G1198" i="21"/>
  <c r="J666" i="22"/>
  <c r="F324" i="22"/>
  <c r="F20" i="13"/>
  <c r="G134" i="22"/>
  <c r="F1236" i="21"/>
  <c r="F20" i="18"/>
  <c r="I400" i="22"/>
  <c r="H286" i="15"/>
  <c r="F1274" i="22"/>
  <c r="G1084" i="21"/>
  <c r="H704" i="22"/>
  <c r="J1730" i="22"/>
  <c r="G20" i="5"/>
  <c r="J1654" i="22"/>
  <c r="G1198" i="22"/>
  <c r="F134" i="22"/>
  <c r="I324" i="22"/>
  <c r="I476" i="21"/>
  <c r="F932" i="22"/>
  <c r="I20" i="21"/>
  <c r="H590" i="21"/>
  <c r="G96" i="18"/>
  <c r="J742" i="21"/>
  <c r="I1084" i="21"/>
  <c r="G590" i="22"/>
  <c r="H172" i="18"/>
  <c r="G134" i="18"/>
  <c r="I894" i="22"/>
  <c r="H286" i="22"/>
  <c r="J1692" i="22"/>
  <c r="H1768" i="22"/>
  <c r="G286" i="21"/>
  <c r="I1236" i="21"/>
  <c r="G438" i="14"/>
  <c r="F172" i="5"/>
  <c r="H172" i="21"/>
  <c r="J96" i="18"/>
  <c r="F172" i="22"/>
  <c r="I210" i="21"/>
  <c r="I1350" i="22"/>
  <c r="J628" i="21"/>
  <c r="J248" i="15"/>
  <c r="G58" i="5"/>
  <c r="H210" i="21"/>
  <c r="H210" i="22"/>
  <c r="J1806" i="22"/>
  <c r="H818" i="21"/>
  <c r="I704" i="21"/>
  <c r="F666" i="21"/>
  <c r="G58" i="18"/>
  <c r="G134" i="21"/>
  <c r="I58" i="18"/>
  <c r="G362" i="21"/>
  <c r="H1046" i="22"/>
  <c r="H438" i="21"/>
  <c r="G552" i="21"/>
  <c r="I590" i="14"/>
  <c r="G1046" i="21"/>
  <c r="F1578" i="21"/>
  <c r="J1464" i="22"/>
  <c r="J438" i="22"/>
  <c r="J20" i="21"/>
  <c r="F1160" i="21"/>
  <c r="F438" i="21"/>
  <c r="J666" i="21"/>
  <c r="G210" i="15"/>
  <c r="I286" i="22"/>
  <c r="F552" i="14"/>
  <c r="G1388" i="21"/>
  <c r="G58" i="13"/>
  <c r="I96" i="15"/>
  <c r="H134" i="18"/>
  <c r="G134" i="5"/>
  <c r="F1084" i="22"/>
  <c r="H1312" i="22"/>
  <c r="G552" i="14"/>
  <c r="G590" i="14"/>
  <c r="H58" i="18"/>
  <c r="I552" i="22"/>
  <c r="H1350" i="22"/>
  <c r="I1578" i="21"/>
  <c r="J704" i="22"/>
  <c r="I552" i="21"/>
  <c r="J476" i="14"/>
  <c r="G248" i="15"/>
  <c r="K13" i="14" l="1"/>
  <c r="K13" i="5"/>
  <c r="G13" i="21"/>
  <c r="G12" i="22"/>
  <c r="G13" i="14"/>
  <c r="G12" i="21"/>
  <c r="K13" i="13"/>
  <c r="K13" i="21"/>
  <c r="K12" i="21"/>
  <c r="K12" i="13"/>
  <c r="G14" i="14"/>
  <c r="K13" i="22"/>
  <c r="K12" i="15"/>
  <c r="K12" i="14"/>
  <c r="K12" i="22"/>
  <c r="G14" i="5"/>
  <c r="G14" i="21"/>
  <c r="G13" i="15"/>
  <c r="G12" i="18"/>
  <c r="K13" i="18"/>
  <c r="G12" i="5"/>
  <c r="G12" i="14"/>
  <c r="G12" i="13"/>
  <c r="G14" i="22"/>
  <c r="G14" i="13"/>
  <c r="G13" i="5"/>
  <c r="G14" i="15"/>
  <c r="G12" i="15"/>
  <c r="G14" i="18"/>
  <c r="K12" i="18"/>
  <c r="G13" i="18"/>
  <c r="G13" i="22"/>
  <c r="G13" i="13"/>
  <c r="K12" i="5"/>
  <c r="K13" i="15"/>
  <c r="K15" i="5" l="1"/>
  <c r="G15" i="15"/>
  <c r="G15" i="14"/>
  <c r="K15" i="14"/>
  <c r="K15" i="22"/>
  <c r="G15" i="13"/>
  <c r="G15" i="21"/>
  <c r="K15" i="18"/>
  <c r="G15" i="5"/>
  <c r="K15" i="15"/>
  <c r="G15" i="22"/>
  <c r="G15" i="18"/>
  <c r="K15" i="13"/>
  <c r="K15" i="21"/>
  <c r="H12" i="15" l="1"/>
  <c r="H14" i="14"/>
  <c r="H12" i="13"/>
  <c r="H13" i="14"/>
  <c r="L12" i="14"/>
  <c r="H12" i="14"/>
  <c r="L14" i="14"/>
  <c r="L13" i="14"/>
  <c r="L13" i="13"/>
  <c r="L12" i="13"/>
  <c r="H14" i="13"/>
  <c r="L14" i="13"/>
  <c r="H12" i="18"/>
  <c r="L14" i="18"/>
  <c r="L13" i="18"/>
  <c r="H14" i="18"/>
  <c r="H13" i="18"/>
  <c r="L12" i="18"/>
  <c r="L14" i="15"/>
  <c r="H14" i="21"/>
  <c r="H13" i="21"/>
  <c r="H12" i="21"/>
  <c r="L14" i="21"/>
  <c r="L13" i="21"/>
  <c r="L12" i="21"/>
  <c r="H14" i="15"/>
  <c r="L12" i="15"/>
  <c r="H13" i="13"/>
  <c r="L13" i="5"/>
  <c r="H13" i="5"/>
  <c r="H12" i="5"/>
  <c r="L12" i="5"/>
  <c r="L14" i="5"/>
  <c r="H14" i="5"/>
  <c r="H13" i="15"/>
  <c r="L13" i="15"/>
  <c r="H14" i="22"/>
  <c r="L14" i="22"/>
  <c r="H12" i="22"/>
  <c r="L13" i="22"/>
  <c r="L12" i="22"/>
  <c r="H13" i="22"/>
  <c r="H15" i="14" l="1"/>
  <c r="L15" i="14"/>
  <c r="H15" i="15"/>
  <c r="H15" i="5"/>
  <c r="H15" i="22"/>
  <c r="H15" i="13"/>
  <c r="L15" i="22"/>
  <c r="L15" i="21"/>
  <c r="L15" i="13"/>
  <c r="H15" i="21"/>
  <c r="L15" i="5"/>
  <c r="H15" i="18"/>
  <c r="L15" i="15"/>
  <c r="L15" i="18"/>
</calcChain>
</file>

<file path=xl/comments1.xml><?xml version="1.0" encoding="utf-8"?>
<comments xmlns="http://schemas.openxmlformats.org/spreadsheetml/2006/main">
  <authors>
    <author>SANDRA SABROSO TORRES</author>
    <author>David Lubián</author>
  </authors>
  <commentList>
    <comment ref="C7" authorId="0" shapeId="0">
      <text>
        <r>
          <rPr>
            <b/>
            <sz val="9"/>
            <color indexed="81"/>
            <rFont val="Tahoma"/>
            <family val="2"/>
          </rPr>
          <t>URA: Unidad Responsable de Accesibilidad</t>
        </r>
        <r>
          <rPr>
            <sz val="9"/>
            <color indexed="81"/>
            <rFont val="Tahoma"/>
            <family val="2"/>
          </rPr>
          <t xml:space="preserve">
</t>
        </r>
      </text>
    </comment>
    <comment ref="C9" authorId="0" shapeId="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text>
        <r>
          <rPr>
            <b/>
            <sz val="9"/>
            <color indexed="81"/>
            <rFont val="Tahoma"/>
            <family val="2"/>
          </rPr>
          <t>Indicar el nombre de la Entidad responsable del sitio web, p.e. la Subdirección General XXX</t>
        </r>
      </text>
    </comment>
    <comment ref="C19" authorId="1" shapeId="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text>
        <r>
          <rPr>
            <b/>
            <sz val="9"/>
            <color indexed="81"/>
            <rFont val="Tahoma"/>
            <family val="2"/>
          </rPr>
          <t xml:space="preserve"> Indicar el correo electrónico de contacto de la entidad o de la persona responsable del sitio web.</t>
        </r>
      </text>
    </comment>
    <comment ref="C29" authorId="1" shapeId="0">
      <text>
        <r>
          <rPr>
            <b/>
            <sz val="9"/>
            <color indexed="81"/>
            <rFont val="Tahoma"/>
            <family val="2"/>
          </rPr>
          <t>Identifica la URL del sitio web.</t>
        </r>
      </text>
    </comment>
    <comment ref="C31" authorId="1" shapeId="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text>
        <r>
          <rPr>
            <b/>
            <sz val="9"/>
            <color indexed="81"/>
            <rFont val="Tahoma"/>
            <family val="2"/>
          </rPr>
          <t>Indicar la fecha en la que se realiza la revisión de accesibilidad en formato dd/mm/aaaa</t>
        </r>
      </text>
    </comment>
    <comment ref="C41" authorId="1" shapeId="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text>
        <r>
          <rPr>
            <b/>
            <sz val="9"/>
            <color indexed="81"/>
            <rFont val="Tahoma"/>
            <family val="2"/>
          </rPr>
          <t>Nombre de la empresa que ha realizado la evaluación.</t>
        </r>
        <r>
          <rPr>
            <sz val="9"/>
            <color indexed="81"/>
            <rFont val="Tahoma"/>
            <family val="2"/>
          </rPr>
          <t xml:space="preserve">
</t>
        </r>
      </text>
    </comment>
    <comment ref="C62" authorId="1" shapeId="0">
      <text>
        <r>
          <rPr>
            <b/>
            <sz val="9"/>
            <color indexed="81"/>
            <rFont val="Tahoma"/>
            <family val="2"/>
          </rPr>
          <t>Datos relacionados con la revisión.</t>
        </r>
      </text>
    </comment>
  </commentList>
</comments>
</file>

<file path=xl/comments10.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authors>
    <author>David Lubián</author>
  </authors>
  <commentList>
    <comment ref="K14" authorId="0" shapeId="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authors>
    <author>SANDRA SABROSO TORRES</author>
  </authors>
  <commentList>
    <comment ref="B6" authorId="0" shapeId="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authors>
    <author>David Lubián</author>
    <author>SANDRA SABROSO TORRES</author>
  </authors>
  <commentList>
    <comment ref="D7" authorId="0" shapeId="0">
      <text>
        <r>
          <rPr>
            <b/>
            <sz val="9"/>
            <color indexed="81"/>
            <rFont val="Tahoma"/>
            <family val="2"/>
          </rPr>
          <t>Puede ser de dos tipos: Página web o Documento no web</t>
        </r>
      </text>
    </comment>
    <comment ref="E7" authorId="1" shapeId="0">
      <text>
        <r>
          <rPr>
            <b/>
            <sz val="9"/>
            <color indexed="81"/>
            <rFont val="Tahoma"/>
            <family val="2"/>
          </rPr>
          <t>Tipo de la página web añadida (de acuerdo con la Decisión de Ejecución 2018/1524).</t>
        </r>
      </text>
    </comment>
    <comment ref="G7" authorId="1" shapeId="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<sst xmlns="http://schemas.openxmlformats.org/spreadsheetml/2006/main" count="3028" uniqueCount="512">
  <si>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</si>
  <si>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</si>
  <si>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</si>
  <si>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</si>
  <si>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</si>
  <si>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</si>
  <si>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</si>
  <si>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</si>
  <si>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</si>
  <si>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</si>
  <si>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</si>
  <si>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</si>
  <si>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</si>
  <si>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</si>
  <si>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</si>
  <si>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</si>
  <si>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</si>
  <si>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</si>
  <si>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</si>
  <si>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</si>
  <si>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</si>
  <si>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</si>
  <si>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</si>
  <si>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</si>
  <si>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</si>
  <si>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</si>
  <si>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</si>
  <si>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</si>
  <si>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</si>
  <si>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</si>
  <si>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</si>
  <si>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</si>
  <si>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</si>
  <si>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</si>
  <si>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</si>
  <si>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</si>
  <si>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</si>
  <si>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</si>
  <si>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</si>
  <si>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</si>
  <si>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</si>
  <si>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</si>
  <si>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</si>
  <si>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</si>
  <si>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</si>
  <si>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</si>
  <si>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</si>
  <si>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</si>
  <si>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Atos</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</si>
  <si>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</si>
  <si>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</si>
  <si>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</si>
  <si>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</si>
  <si>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</si>
  <si>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</si>
  <si>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</si>
  <si>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</si>
  <si>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</si>
  <si>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</si>
  <si>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</si>
  <si>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</si>
  <si>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</si>
  <si>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</si>
  <si>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</si>
  <si>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</si>
  <si>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</si>
  <si>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</si>
  <si>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</si>
  <si>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</si>
  <si>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</si>
  <si>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</si>
  <si>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</si>
  <si>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</si>
  <si>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</si>
  <si>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</si>
  <si>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</si>
  <si>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</si>
  <si>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</si>
  <si>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</si>
  <si>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</si>
  <si>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</si>
  <si>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</si>
  <si>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</si>
  <si>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</si>
  <si>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</si>
  <si>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</si>
  <si>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</si>
  <si>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</si>
  <si>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</si>
  <si>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</si>
  <si>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</si>
  <si>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</si>
  <si>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</si>
  <si>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</si>
  <si>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</si>
  <si>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</si>
  <si>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</si>
  <si>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</si>
  <si>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</si>
  <si>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</si>
  <si>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</si>
  <si>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</si>
  <si>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</si>
  <si>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</si>
  <si>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</si>
  <si>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</si>
  <si>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</si>
  <si>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</si>
  <si>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</si>
  <si>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</si>
  <si>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</si>
  <si>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</si>
  <si>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</si>
  <si>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</si>
  <si>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</si>
  <si>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</si>
  <si>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</si>
  <si>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</si>
  <si>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</si>
  <si>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</si>
  <si>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</si>
  <si>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</si>
  <si>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</si>
  <si>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</si>
  <si>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</si>
  <si>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</si>
  <si>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</si>
  <si>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</si>
  <si>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</si>
  <si>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</si>
  <si>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</si>
  <si>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</si>
  <si>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</si>
  <si>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</si>
  <si>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</si>
  <si>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</si>
  <si>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</si>
  <si>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</si>
  <si>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</si>
  <si>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</si>
  <si>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</si>
  <si>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</si>
  <si>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</si>
  <si>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</si>
  <si>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</si>
  <si>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</si>
  <si>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</si>
  <si>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</si>
  <si>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</si>
  <si>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</si>
  <si>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</si>
  <si>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</si>
  <si>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</si>
  <si>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</si>
  <si>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</si>
  <si>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</si>
  <si>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</si>
  <si>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</si>
  <si>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</si>
  <si>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</si>
  <si>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</si>
  <si>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</si>
  <si>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</si>
  <si>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</si>
  <si>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</si>
  <si>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</si>
  <si>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</si>
  <si>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</si>
  <si>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</si>
  <si>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</si>
  <si>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</si>
  <si>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</si>
  <si>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</si>
  <si>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</si>
  <si>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</si>
  <si>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</si>
  <si>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</si>
  <si>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</si>
  <si>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</si>
  <si>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</si>
  <si>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</si>
  <si>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</si>
  <si>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</si>
  <si>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</si>
  <si>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</si>
  <si>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</si>
  <si>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</si>
  <si>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</si>
  <si>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</si>
  <si>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</si>
  <si>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</si>
  <si>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</si>
  <si>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</si>
  <si>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</si>
  <si>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</si>
  <si>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</si>
  <si>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</si>
  <si>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</si>
  <si>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</si>
  <si>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</si>
  <si>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</si>
  <si>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</si>
  <si>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</si>
  <si>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</si>
  <si>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</si>
  <si>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</si>
  <si>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</si>
  <si>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</si>
  <si>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</si>
  <si>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</si>
  <si>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</si>
  <si>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</si>
  <si>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</si>
  <si>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</si>
  <si>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</si>
  <si>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</si>
  <si>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</si>
  <si>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</si>
  <si>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</si>
  <si>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</si>
  <si>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</si>
  <si>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</si>
  <si>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</si>
  <si>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</si>
  <si>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</si>
  <si>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</si>
  <si>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</si>
  <si>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</si>
  <si>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</si>
  <si>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</si>
  <si>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</si>
  <si>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</si>
  <si>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</si>
  <si>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</si>
  <si>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</si>
  <si>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</si>
  <si>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</si>
  <si>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</si>
  <si>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</si>
  <si>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</si>
  <si>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</si>
  <si>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</si>
  <si>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</si>
  <si>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</si>
  <si>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</si>
  <si>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</si>
  <si>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</si>
  <si>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</si>
  <si>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</si>
  <si>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</si>
  <si>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</si>
  <si>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</si>
  <si>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</si>
  <si>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</si>
  <si>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</si>
  <si>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</si>
  <si>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</si>
  <si>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</si>
  <si>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</si>
  <si>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</si>
  <si>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</si>
  <si>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</si>
  <si>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</si>
  <si>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</si>
  <si>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</si>
  <si>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</si>
  <si>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</si>
  <si>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</si>
  <si>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</si>
  <si>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</si>
  <si>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</si>
  <si>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</si>
  <si>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</si>
  <si>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</si>
  <si>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</si>
  <si>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</si>
  <si>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</si>
  <si>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</si>
  <si>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</si>
  <si>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</si>
  <si>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</si>
  <si>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</si>
  <si>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</si>
  <si>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</si>
  <si>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</si>
  <si>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</si>
  <si>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</si>
  <si>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</si>
  <si>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</si>
  <si>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</si>
  <si>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</si>
  <si>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</si>
  <si>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</si>
  <si>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</si>
  <si>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</si>
  <si>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</si>
  <si>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</si>
  <si>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</si>
  <si>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</si>
  <si>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</si>
  <si>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</si>
  <si>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</si>
  <si>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</si>
  <si>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</si>
  <si>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</si>
  <si>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</si>
  <si>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</si>
  <si>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</si>
  <si>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</si>
  <si>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</si>
  <si>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</si>
  <si>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</si>
  <si>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</si>
  <si>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</si>
  <si>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</si>
  <si>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</si>
  <si>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</si>
  <si>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</si>
  <si>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</si>
  <si>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</si>
  <si>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</si>
  <si>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</si>
  <si>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</si>
  <si>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</si>
  <si>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</si>
  <si>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</si>
  <si>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</si>
  <si>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</si>
  <si>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</si>
  <si>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</si>
  <si>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</si>
  <si>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</si>
  <si>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</si>
  <si>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</si>
  <si>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</si>
  <si>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</si>
  <si>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</si>
  <si>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</si>
  <si>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</si>
  <si>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</si>
  <si>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</si>
  <si>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</si>
  <si>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</si>
  <si>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</si>
  <si>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</si>
  <si>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</si>
  <si>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</si>
  <si>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</si>
  <si>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</si>
  <si>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</si>
  <si>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</si>
  <si>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</si>
  <si>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</si>
  <si>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</si>
  <si>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</si>
  <si>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</si>
  <si>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</si>
  <si>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</si>
  <si>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</si>
  <si>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</si>
  <si>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</si>
  <si>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</si>
  <si>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</si>
  <si>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</si>
  <si>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</si>
  <si>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</si>
  <si>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</si>
  <si>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</si>
  <si>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</si>
  <si>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</si>
  <si>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</si>
  <si>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</si>
  <si>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</si>
  <si>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</si>
  <si>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</si>
  <si>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</si>
  <si>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</si>
  <si>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</si>
  <si>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</si>
  <si>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</si>
  <si>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</si>
  <si>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</si>
  <si>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</si>
  <si>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</si>
  <si>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</si>
  <si>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</si>
  <si>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</si>
  <si>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</si>
  <si>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</si>
  <si>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</si>
  <si>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</si>
  <si>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</si>
  <si>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</si>
  <si>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</si>
  <si>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</si>
  <si>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</si>
  <si>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</si>
  <si>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</si>
  <si>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</si>
  <si>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</si>
  <si>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</si>
  <si>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</si>
  <si>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</si>
  <si>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</si>
  <si>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</si>
  <si>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</si>
  <si>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</si>
  <si>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</si>
  <si>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</si>
  <si>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</si>
  <si>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</si>
  <si>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</si>
  <si>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</si>
  <si>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</si>
  <si>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</si>
  <si>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</si>
  <si>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</si>
  <si>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</si>
  <si>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</si>
  <si>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</si>
  <si>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</si>
  <si>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</si>
  <si>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</si>
  <si>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</si>
  <si>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</si>
  <si>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</si>
  <si>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</si>
  <si>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</si>
  <si>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</si>
  <si>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</si>
  <si>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</si>
  <si>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</si>
  <si>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</si>
  <si>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</si>
  <si>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</si>
  <si>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</si>
  <si>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</si>
  <si>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</si>
  <si>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</si>
  <si>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</si>
  <si>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</si>
  <si>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</si>
  <si>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</si>
  <si>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</si>
  <si>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</si>
  <si>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</si>
  <si>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</si>
  <si>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</si>
  <si>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</si>
  <si>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</si>
  <si>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</si>
  <si>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</si>
  <si>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</si>
  <si>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</si>
  <si>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</si>
  <si>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</si>
  <si>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</si>
  <si>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</si>
  <si>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</si>
  <si>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</si>
  <si>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</si>
  <si>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</si>
  <si>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</si>
  <si>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</si>
  <si>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</si>
  <si>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</si>
  <si>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</si>
  <si>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</si>
  <si>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</si>
  <si>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</si>
  <si>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</si>
  <si>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</si>
  <si>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</si>
  <si>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</si>
  <si>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</si>
  <si>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</si>
  <si>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</si>
  <si>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</si>
  <si>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</si>
  <si>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</si>
  <si>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https://www.comunidad.madrid/hospital/12octubre/</t>
  </si>
  <si>
    <t>Home</t>
  </si>
  <si>
    <t>Página Web</t>
  </si>
  <si>
    <t>Hospital universitario 12 de Octubre</t>
  </si>
  <si>
    <t>Se revisan las páginas del dominio</t>
  </si>
  <si>
    <t>Página del Hospital 12 de Octubre con toda la info.</t>
  </si>
  <si>
    <t>Equipo: Intel(R) Core(TM) i5-8365U CPU @ 1.60GHz   1.90 GHz, 
RAM: 8,0 GB
Sistema Operativo: Windows 10 Enterprise
Navegador: Google Chrome Versión 109.0.5414.75
Herramientas utilizadas: Tawdis, LightHouse, Wave, Color Contrast Analyzer, Headings map, Screen reader, https://validator.w3.org/nu/</t>
  </si>
  <si>
    <t>Ciudadanos</t>
  </si>
  <si>
    <t>https://www.comunidad.madrid/hospital/12octubre/ciudadanos</t>
  </si>
  <si>
    <t>Home - Ciudadanos</t>
  </si>
  <si>
    <t>Profesionales</t>
  </si>
  <si>
    <t>https://www.comunidad.madrid/hospital/12octubre/profesionales</t>
  </si>
  <si>
    <t>Home - Profesionales</t>
  </si>
  <si>
    <t>Comunicación</t>
  </si>
  <si>
    <t>https://www.comunidad.madrid/hospital/12octubre/comunicación</t>
  </si>
  <si>
    <t>Home - Comunicación</t>
  </si>
  <si>
    <t>https://www.comunidad.madrid/hospital/12octubre/nosotros</t>
  </si>
  <si>
    <t>Nosotros</t>
  </si>
  <si>
    <t>Home - Nosotros</t>
  </si>
  <si>
    <t>Centros de especialidades</t>
  </si>
  <si>
    <t>https://www.comunidad.madrid/hospital/12octubre/nosotros/centros-especialidades-perifericos</t>
  </si>
  <si>
    <t>Home - Centros de especialidades</t>
  </si>
  <si>
    <t>Canal solidario</t>
  </si>
  <si>
    <t>https://www.comunidad.madrid/hospital/12octubre/ciudadanos/canal-solidario</t>
  </si>
  <si>
    <t>Home - Canal Solidario</t>
  </si>
  <si>
    <t>Aniversario</t>
  </si>
  <si>
    <t>https://www.comunidad.madrid/hospital/12octubre/50-aniversario</t>
  </si>
  <si>
    <t>https://www.comunidad.madrid/hospital/12octubre/declaracion-accesibilidad</t>
  </si>
  <si>
    <t>Accesibilidad</t>
  </si>
  <si>
    <t>Home - Foot -  Accesibilidad</t>
  </si>
  <si>
    <t>Vídeo</t>
  </si>
  <si>
    <t>Home - 50 Aniversario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</si>
</sst>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1">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cellStyle name="Bad2" xfId="19"/>
    <cellStyle name="Bad3" xfId="22"/>
    <cellStyle name="Blanco" xfId="21"/>
    <cellStyle name="Card" xfId="6"/>
    <cellStyle name="Card B" xfId="13"/>
    <cellStyle name="Card BL" xfId="14"/>
    <cellStyle name="Card BR" xfId="15"/>
    <cellStyle name="Card L" xfId="11"/>
    <cellStyle name="Card R" xfId="12"/>
    <cellStyle name="Card T" xfId="9"/>
    <cellStyle name="Card TL" xfId="8"/>
    <cellStyle name="Card TR" xfId="10"/>
    <cellStyle name="Column Header" xfId="16"/>
    <cellStyle name="Enlace" xfId="18"/>
    <cellStyle name="Good" xfId="23"/>
    <cellStyle name="Good2" xfId="20"/>
    <cellStyle name="Hipervínculo" xfId="24" builtinId="8"/>
    <cellStyle name="Input" xfId="7"/>
    <cellStyle name="LINK" xfId="17"/>
    <cellStyle name="Normal" xfId="0" builtinId="0"/>
    <cellStyle name="Normal 2" xfId="25"/>
    <cellStyle name="Resultado" xfId="1"/>
    <cellStyle name="Resultado2" xfId="2"/>
    <cellStyle name="Título" xfId="3"/>
    <cellStyle name="Título1" xfId="4"/>
  </cellStyles>
  <dxfs count="1191">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w3.org/TR/WCAG/#contrast-minimum" TargetMode="External"/><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3" Type="http://schemas.openxmlformats.org/officeDocument/2006/relationships/hyperlink" Target="https://www.w3.org/TR/WCAG/#content-on-hover-or-focus"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0" Type="http://schemas.openxmlformats.org/officeDocument/2006/relationships/hyperlink" Target="https://www.w3.org/TR/WCAG/#three-flashes-or-below-threshold"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bypass-block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www.w3.org/TR/WCAG/#parsing" TargetMode="External"/><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3" Type="http://schemas.openxmlformats.org/officeDocument/2006/relationships/hyperlink" Target="https://www.w3.org/TR/WCAG/#audio-only-and-video-only-prerecorded"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4</xdr:col>
      <xdr:colOff>384256</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tos365-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id="1" name="Ambito_tematico" displayName="Ambito_tematico" ref="E9:E17" totalsRowShown="0">
  <tableColumns count="1">
    <tableColumn id="1" name="Educación"/>
  </tableColumns>
  <tableStyleInfo showFirstColumn="0" showLastColumn="0" showRowStripes="1" showColumnStripes="0"/>
</table>
</file>

<file path=xl/tables/table2.xml><?xml version="1.0" encoding="utf-8"?>
<table xmlns="http://schemas.openxmlformats.org/spreadsheetml/2006/main" id="3" name="Tipo_de_evaluación" displayName="Tipo_de_evaluación" ref="G9:G11" totalsRowShown="0">
  <tableColumns count="1">
    <tableColumn id="1"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L22"/>
  <sheetViews>
    <sheetView zoomScale="90" zoomScaleNormal="90" workbookViewId="0">
      <selection activeCell="L2" sqref="L2"/>
    </sheetView>
  </sheetViews>
  <sheetFormatPr baseColWidth="10" defaultColWidth="11.5429687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2" t="s">
        <v>5</v>
      </c>
      <c r="C9" s="212"/>
      <c r="D9" s="212"/>
      <c r="E9" s="212"/>
      <c r="F9" s="212"/>
      <c r="G9" s="212"/>
      <c r="H9" s="212"/>
      <c r="I9" s="212"/>
      <c r="J9" s="212"/>
      <c r="K9" s="212"/>
      <c r="L9" s="212"/>
      <c r="M9" s="212"/>
      <c r="N9" s="212"/>
    </row>
    <row r="10" spans="1:64" ht="13.5" customHeight="1"/>
    <row r="11" spans="1:64" ht="86.25" customHeight="1">
      <c r="B11" s="212" t="s">
        <v>6</v>
      </c>
      <c r="C11" s="212"/>
      <c r="D11" s="212"/>
      <c r="E11" s="212"/>
      <c r="F11" s="212"/>
      <c r="G11" s="212"/>
      <c r="H11" s="212"/>
      <c r="I11" s="212"/>
      <c r="J11" s="212"/>
      <c r="K11" s="212"/>
      <c r="L11" s="212"/>
      <c r="M11" s="212"/>
      <c r="N11" s="212"/>
    </row>
    <row r="12" spans="1:64" ht="13.5" customHeight="1"/>
    <row r="13" spans="1:64" ht="319.5" customHeight="1">
      <c r="B13" s="212" t="s">
        <v>7</v>
      </c>
      <c r="C13" s="212"/>
      <c r="D13" s="212"/>
      <c r="E13" s="212"/>
      <c r="F13" s="212"/>
      <c r="G13" s="212"/>
      <c r="H13" s="212"/>
      <c r="I13" s="212"/>
      <c r="J13" s="212"/>
      <c r="K13" s="212"/>
      <c r="L13" s="212"/>
      <c r="M13" s="212"/>
      <c r="N13" s="212"/>
    </row>
    <row r="15" spans="1:64" ht="274.5" customHeight="1">
      <c r="B15" s="213" t="s">
        <v>8</v>
      </c>
      <c r="C15" s="213"/>
      <c r="D15" s="213"/>
      <c r="E15" s="213"/>
      <c r="F15" s="213"/>
      <c r="G15" s="213"/>
      <c r="H15" s="213"/>
      <c r="I15" s="213"/>
      <c r="J15" s="213"/>
      <c r="K15" s="213"/>
      <c r="L15" s="213"/>
      <c r="M15" s="213"/>
      <c r="N15" s="213"/>
    </row>
    <row r="17" spans="2:14" ht="29.25" customHeight="1">
      <c r="B17" s="214" t="s">
        <v>9</v>
      </c>
      <c r="C17" s="214"/>
      <c r="D17" s="214"/>
      <c r="E17" s="214"/>
      <c r="F17" s="214"/>
      <c r="G17" s="214"/>
      <c r="H17" s="214"/>
      <c r="I17" s="214"/>
      <c r="J17" s="214"/>
      <c r="K17" s="214"/>
      <c r="L17" s="214"/>
      <c r="M17" s="214"/>
      <c r="N17" s="214"/>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hyperlink ref="B19:N19" r:id="rId2" display="1 http://www.etsi.org/deliver/etsi_en/301500_301599/301549/03.02.01_60/en_301549v030201p.pdf"/>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BL244"/>
  <sheetViews>
    <sheetView topLeftCell="A5" zoomScale="136" zoomScaleNormal="136" workbookViewId="0">
      <selection activeCell="D217" sqref="D217"/>
    </sheetView>
  </sheetViews>
  <sheetFormatPr baseColWidth="10" defaultColWidth="11.54296875" defaultRowHeight="12.5"/>
  <cols>
    <col min="1" max="1" width="7.90625" style="14" customWidth="1"/>
    <col min="2" max="2" width="16.08984375" style="14" customWidth="1"/>
    <col min="3" max="3" width="71"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8.899999999999999" customHeight="1">
      <c r="B8" s="232" t="s">
        <v>239</v>
      </c>
      <c r="C8" s="232"/>
      <c r="D8" s="232"/>
      <c r="E8" s="232"/>
      <c r="F8" s="232"/>
      <c r="G8" s="232"/>
      <c r="H8" s="232"/>
      <c r="I8" s="232"/>
      <c r="J8" s="232"/>
      <c r="K8" s="232"/>
      <c r="L8" s="232"/>
      <c r="M8" s="232"/>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0</v>
      </c>
      <c r="H12" s="42">
        <f ca="1">IF(($G$15+$K$15)=0,0,G12/($G$15+$K$15))</f>
        <v>0</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54</v>
      </c>
      <c r="H14" s="42">
        <f ca="1">IF(($G$15+$K$15)=0,0,G14/($G$15+$K$15))</f>
        <v>1</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54</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https://www.comunidad.madrid/hospital/12octubre/</v>
      </c>
      <c r="D19" s="99" t="s">
        <v>104</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https://www.comunidad.madrid/hospital/12octubre/ciudadanos</v>
      </c>
      <c r="D20" s="99" t="s">
        <v>104</v>
      </c>
      <c r="E20" s="79" t="str">
        <f t="shared" si="0"/>
        <v/>
      </c>
      <c r="F20" s="91">
        <f ca="1">COUNTIF($D19:INDIRECT("$D" &amp;  SUM(ROW()-1,'03.Muestra'!$D$45)-1),F19)</f>
        <v>0</v>
      </c>
      <c r="G20" s="91">
        <f ca="1">COUNTIF($D19:INDIRECT("$D" &amp;  SUM(ROW()-1,'03.Muestra'!$D$45)-1),G19)</f>
        <v>0</v>
      </c>
      <c r="H20" s="91">
        <f ca="1">COUNTIF($D19:INDIRECT("$D" &amp;  SUM(ROW()-1,'03.Muestra'!$D$45)-1),H19)</f>
        <v>9</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https://www.comunidad.madrid/hospital/12octubre/profesionales</v>
      </c>
      <c r="D21" s="99" t="s">
        <v>104</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https://www.comunidad.madrid/hospital/12octubre/comunicación</v>
      </c>
      <c r="D22" s="99" t="s">
        <v>104</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https://www.comunidad.madrid/hospital/12octubre/nosotros</v>
      </c>
      <c r="D23" s="99" t="s">
        <v>104</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Centros de especialidades</v>
      </c>
      <c r="C24" s="85" t="str" cm="1">
        <f t="array" ref="C24">IFERROR(INDEX('03.Muestra'!$F$8:$F$42,SMALL(IF("Página Web"='03.Muestra'!$D$8:$D$42,ROW('03.Muestra'!$F$8:$F$42)-MIN(ROW('03.Muestra'!$D$8:$D$42))+1,""),ROW()-18)),"")</f>
        <v>https://www.comunidad.madrid/hospital/12octubre/nosotros/centros-especialidades-perifericos</v>
      </c>
      <c r="D24" s="99" t="s">
        <v>104</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Canal solidario</v>
      </c>
      <c r="C25" s="85" t="str" cm="1">
        <f t="array" ref="C25">IFERROR(INDEX('03.Muestra'!$F$8:$F$42,SMALL(IF("Página Web"='03.Muestra'!$D$8:$D$42,ROW('03.Muestra'!$F$8:$F$42)-MIN(ROW('03.Muestra'!$D$8:$D$42))+1,""),ROW()-18)),"")</f>
        <v>https://www.comunidad.madrid/hospital/12octubre/ciudadanos/canal-solidario</v>
      </c>
      <c r="D25" s="99" t="s">
        <v>104</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Aniversario</v>
      </c>
      <c r="C26" s="85" t="str" cm="1">
        <f t="array" ref="C26">IFERROR(INDEX('03.Muestra'!$F$8:$F$42,SMALL(IF("Página Web"='03.Muestra'!$D$8:$D$42,ROW('03.Muestra'!$F$8:$F$42)-MIN(ROW('03.Muestra'!$D$8:$D$42))+1,""),ROW()-18)),"")</f>
        <v>https://www.comunidad.madrid/hospital/12octubre/50-aniversario</v>
      </c>
      <c r="D26" s="99" t="s">
        <v>104</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https://www.comunidad.madrid/hospital/12octubre/declaracion-accesibilidad</v>
      </c>
      <c r="D27" s="99" t="s">
        <v>104</v>
      </c>
      <c r="E27" s="79" t="str">
        <f t="shared" si="0"/>
        <v/>
      </c>
      <c r="F27" s="18"/>
      <c r="G27" s="18"/>
      <c r="H27" s="18"/>
      <c r="I27" s="18"/>
      <c r="J27" s="18"/>
      <c r="K27" s="18"/>
    </row>
    <row r="28" spans="1:13"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ref="D28:D53" si="1">IF(AND(B28&lt;&gt;"",C28&lt;&gt;""),"N/T","")</f>
        <v/>
      </c>
      <c r="E28" s="79" t="str">
        <f t="shared" si="0"/>
        <v/>
      </c>
      <c r="F28" s="18"/>
      <c r="G28" s="18"/>
      <c r="H28" s="18"/>
      <c r="I28" s="18"/>
      <c r="J28" s="18"/>
      <c r="K28" s="18"/>
    </row>
    <row r="29" spans="1:13"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https://www.comunidad.madrid/hospital/12octubre/</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https://www.comunidad.madrid/hospital/12octubre/ciudadanos</v>
      </c>
      <c r="D58" s="99" t="s">
        <v>104</v>
      </c>
      <c r="E58" s="79" t="str">
        <f t="shared" si="2"/>
        <v/>
      </c>
      <c r="F58" s="91">
        <f ca="1">COUNTIF($D57:INDIRECT("$D" &amp;  SUM(ROW()-1,'03.Muestra'!$D$45)-1),F57)</f>
        <v>0</v>
      </c>
      <c r="G58" s="91">
        <f ca="1">COUNTIF($D57:INDIRECT("$D" &amp;  SUM(ROW()-1,'03.Muestra'!$D$45)-1),G57)</f>
        <v>0</v>
      </c>
      <c r="H58" s="91">
        <f ca="1">COUNTIF($D57:INDIRECT("$D" &amp;  SUM(ROW()-1,'03.Muestra'!$D$45)-1),H57)</f>
        <v>9</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https://www.comunidad.madrid/hospital/12octubre/profesionales</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https://www.comunidad.madrid/hospital/12octubre/comunicación</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https://www.comunidad.madrid/hospital/12octubre/nosotros</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Centros de especialidades</v>
      </c>
      <c r="C62" s="85" t="str" cm="1">
        <f t="array" ref="C62">IFERROR(INDEX('03.Muestra'!$F$8:$F$42,SMALL(IF("Página Web"='03.Muestra'!$D$8:$D$42,ROW('03.Muestra'!$F$8:$F$42)-MIN(ROW('03.Muestra'!$D$8:$D$42))+1,""),ROW()-56)),"")</f>
        <v>https://www.comunidad.madrid/hospital/12octubre/nosotros/centros-especialidades-perifericos</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Canal solidario</v>
      </c>
      <c r="C63" s="85" t="str" cm="1">
        <f t="array" ref="C63">IFERROR(INDEX('03.Muestra'!$F$8:$F$42,SMALL(IF("Página Web"='03.Muestra'!$D$8:$D$42,ROW('03.Muestra'!$F$8:$F$42)-MIN(ROW('03.Muestra'!$D$8:$D$42))+1,""),ROW()-56)),"")</f>
        <v>https://www.comunidad.madrid/hospital/12octubre/ciudadanos/canal-solidario</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Aniversario</v>
      </c>
      <c r="C64" s="85" t="str" cm="1">
        <f t="array" ref="C64">IFERROR(INDEX('03.Muestra'!$F$8:$F$42,SMALL(IF("Página Web"='03.Muestra'!$D$8:$D$42,ROW('03.Muestra'!$F$8:$F$42)-MIN(ROW('03.Muestra'!$D$8:$D$42))+1,""),ROW()-56)),"")</f>
        <v>https://www.comunidad.madrid/hospital/12octubre/50-aniversario</v>
      </c>
      <c r="D64" s="99" t="s">
        <v>104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https://www.comunidad.madrid/hospital/12octubre/declaracion-accesibilidad</v>
      </c>
      <c r="D65" s="99" t="s">
        <v>104</v>
      </c>
      <c r="E65" s="79" t="str">
        <f t="shared" si="2"/>
        <v/>
      </c>
      <c r="F65" s="18"/>
      <c r="G65" s="18"/>
      <c r="H65" s="18"/>
      <c r="I65" s="18"/>
      <c r="J65" s="18"/>
      <c r="K65" s="184"/>
    </row>
    <row r="66" spans="1:11"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ref="D66:D91" si="3">IF(AND(B66&lt;&gt;"",C66&lt;&gt;""),"N/T","")</f>
        <v/>
      </c>
      <c r="E66" s="79" t="str">
        <f t="shared" si="2"/>
        <v/>
      </c>
      <c r="F66" s="18"/>
      <c r="G66" s="18"/>
      <c r="H66" s="18"/>
      <c r="I66" s="18"/>
      <c r="J66" s="18"/>
      <c r="K66" s="184"/>
    </row>
    <row r="67" spans="1:11"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https://www.comunidad.madrid/hospital/12octubre/</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https://www.comunidad.madrid/hospital/12octubre/ciudadanos</v>
      </c>
      <c r="D96" s="99" t="s">
        <v>104</v>
      </c>
      <c r="E96" s="79" t="str">
        <f t="shared" si="4"/>
        <v/>
      </c>
      <c r="F96" s="91">
        <f ca="1">COUNTIF($D95:INDIRECT("$D" &amp;  SUM(ROW()-1,'03.Muestra'!$D$45)-1),F95)</f>
        <v>0</v>
      </c>
      <c r="G96" s="91">
        <f ca="1">COUNTIF($D95:INDIRECT("$D" &amp;  SUM(ROW()-1,'03.Muestra'!$D$45)-1),G95)</f>
        <v>0</v>
      </c>
      <c r="H96" s="91">
        <f ca="1">COUNTIF($D95:INDIRECT("$D" &amp;  SUM(ROW()-1,'03.Muestra'!$D$45)-1),H95)</f>
        <v>9</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https://www.comunidad.madrid/hospital/12octubre/profesionales</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https://www.comunidad.madrid/hospital/12octubre/comunicación</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https://www.comunidad.madrid/hospital/12octubre/nosotros</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Centros de especialidades</v>
      </c>
      <c r="C100" s="85" t="str" cm="1">
        <f t="array" ref="C100">IFERROR(INDEX('03.Muestra'!$F$8:$F$42,SMALL(IF("Página Web"='03.Muestra'!$D$8:$D$42,ROW('03.Muestra'!$F$8:$F$42)-MIN(ROW('03.Muestra'!$D$8:$D$42))+1,""),ROW()-94)),"")</f>
        <v>https://www.comunidad.madrid/hospital/12octubre/nosotros/centros-especialidades-perifericos</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Canal solidario</v>
      </c>
      <c r="C101" s="85" t="str" cm="1">
        <f t="array" ref="C101">IFERROR(INDEX('03.Muestra'!$F$8:$F$42,SMALL(IF("Página Web"='03.Muestra'!$D$8:$D$42,ROW('03.Muestra'!$F$8:$F$42)-MIN(ROW('03.Muestra'!$D$8:$D$42))+1,""),ROW()-94)),"")</f>
        <v>https://www.comunidad.madrid/hospital/12octubre/ciudadanos/canal-solidario</v>
      </c>
      <c r="D101" s="211"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Aniversario</v>
      </c>
      <c r="C102" s="85" t="str" cm="1">
        <f t="array" ref="C102">IFERROR(INDEX('03.Muestra'!$F$8:$F$42,SMALL(IF("Página Web"='03.Muestra'!$D$8:$D$42,ROW('03.Muestra'!$F$8:$F$42)-MIN(ROW('03.Muestra'!$D$8:$D$42))+1,""),ROW()-94)),"")</f>
        <v>https://www.comunidad.madrid/hospital/12octubre/50-aniversario</v>
      </c>
      <c r="D102" s="99" t="s">
        <v>104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https://www.comunidad.madrid/hospital/12octubre/declaracion-accesibilidad</v>
      </c>
      <c r="D103" s="99" t="s">
        <v>104</v>
      </c>
      <c r="E103" s="79" t="str">
        <f t="shared" si="4"/>
        <v/>
      </c>
      <c r="F103" s="18"/>
      <c r="G103" s="18"/>
      <c r="H103" s="18"/>
      <c r="I103" s="18"/>
      <c r="J103" s="18"/>
      <c r="K103" s="184"/>
    </row>
    <row r="104" spans="1:11"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ref="D104:D129" si="5">IF(AND(B104&lt;&gt;"",C104&lt;&gt;""),"N/T","")</f>
        <v/>
      </c>
      <c r="E104" s="79" t="str">
        <f t="shared" si="4"/>
        <v/>
      </c>
      <c r="F104" s="18"/>
      <c r="G104" s="18"/>
      <c r="H104" s="18"/>
      <c r="I104" s="18"/>
      <c r="J104" s="18"/>
      <c r="K104" s="184"/>
    </row>
    <row r="105" spans="1:11"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https://www.comunidad.madrid/hospital/12octubre/</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https://www.comunidad.madrid/hospital/12octubre/ciudadanos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9</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https://www.comunidad.madrid/hospital/12octubre/profesionales</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https://www.comunidad.madrid/hospital/12octubre/comunicación</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https://www.comunidad.madrid/hospital/12octubre/nosotros</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Centros de especialidades</v>
      </c>
      <c r="C138" s="85" t="str" cm="1">
        <f t="array" ref="C138">IFERROR(INDEX('03.Muestra'!$F$8:$F$42,SMALL(IF("Página Web"='03.Muestra'!$D$8:$D$42,ROW('03.Muestra'!$F$8:$F$42)-MIN(ROW('03.Muestra'!$D$8:$D$42))+1,""),ROW()-132)),"")</f>
        <v>https://www.comunidad.madrid/hospital/12octubre/nosotros/centros-especialidades-perifericos</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Canal solidario</v>
      </c>
      <c r="C139" s="85" t="str" cm="1">
        <f t="array" ref="C139">IFERROR(INDEX('03.Muestra'!$F$8:$F$42,SMALL(IF("Página Web"='03.Muestra'!$D$8:$D$42,ROW('03.Muestra'!$F$8:$F$42)-MIN(ROW('03.Muestra'!$D$8:$D$42))+1,""),ROW()-132)),"")</f>
        <v>https://www.comunidad.madrid/hospital/12octubre/ciudadanos/canal-solidario</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Aniversario</v>
      </c>
      <c r="C140" s="85" t="str" cm="1">
        <f t="array" ref="C140">IFERROR(INDEX('03.Muestra'!$F$8:$F$42,SMALL(IF("Página Web"='03.Muestra'!$D$8:$D$42,ROW('03.Muestra'!$F$8:$F$42)-MIN(ROW('03.Muestra'!$D$8:$D$42))+1,""),ROW()-132)),"")</f>
        <v>https://www.comunidad.madrid/hospital/12octubre/50-aniversario</v>
      </c>
      <c r="D140" s="99" t="s">
        <v>104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https://www.comunidad.madrid/hospital/12octubre/declaracion-accesibilidad</v>
      </c>
      <c r="D141" s="99" t="s">
        <v>104</v>
      </c>
      <c r="E141" s="79" t="str">
        <f t="shared" si="6"/>
        <v/>
      </c>
      <c r="F141" s="18"/>
      <c r="G141" s="18"/>
      <c r="H141" s="18"/>
      <c r="I141" s="18"/>
      <c r="J141" s="18"/>
      <c r="K141" s="184"/>
    </row>
    <row r="142" spans="1:11"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ref="D142:D167" si="7">IF(AND(B142&lt;&gt;"",C142&lt;&gt;""),"N/T","")</f>
        <v/>
      </c>
      <c r="E142" s="79" t="str">
        <f t="shared" si="6"/>
        <v/>
      </c>
      <c r="F142" s="18"/>
      <c r="G142" s="18"/>
      <c r="H142" s="18"/>
      <c r="I142" s="18"/>
      <c r="J142" s="18"/>
      <c r="K142" s="184"/>
    </row>
    <row r="143" spans="1:11"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https://www.comunidad.madrid/hospital/12octubre/</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https://www.comunidad.madrid/hospital/12octubre/ciudadanos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9</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https://www.comunidad.madrid/hospital/12octubre/profesionales</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https://www.comunidad.madrid/hospital/12octubre/comunicación</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https://www.comunidad.madrid/hospital/12octubre/nosotros</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Centros de especialidades</v>
      </c>
      <c r="C176" s="85" t="str" cm="1">
        <f t="array" ref="C176">IFERROR(INDEX('03.Muestra'!$F$8:$F$42,SMALL(IF("Página Web"='03.Muestra'!$D$8:$D$42,ROW('03.Muestra'!$F$8:$F$42)-MIN(ROW('03.Muestra'!$D$8:$D$42))+1,""),ROW()-170)),"")</f>
        <v>https://www.comunidad.madrid/hospital/12octubre/nosotros/centros-especialidades-perifericos</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Canal solidario</v>
      </c>
      <c r="C177" s="85" t="str" cm="1">
        <f t="array" ref="C177">IFERROR(INDEX('03.Muestra'!$F$8:$F$42,SMALL(IF("Página Web"='03.Muestra'!$D$8:$D$42,ROW('03.Muestra'!$F$8:$F$42)-MIN(ROW('03.Muestra'!$D$8:$D$42))+1,""),ROW()-170)),"")</f>
        <v>https://www.comunidad.madrid/hospital/12octubre/ciudadanos/canal-solidario</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Aniversario</v>
      </c>
      <c r="C178" s="85" t="str" cm="1">
        <f t="array" ref="C178">IFERROR(INDEX('03.Muestra'!$F$8:$F$42,SMALL(IF("Página Web"='03.Muestra'!$D$8:$D$42,ROW('03.Muestra'!$F$8:$F$42)-MIN(ROW('03.Muestra'!$D$8:$D$42))+1,""),ROW()-170)),"")</f>
        <v>https://www.comunidad.madrid/hospital/12octubre/50-aniversario</v>
      </c>
      <c r="D178" s="99" t="s">
        <v>104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https://www.comunidad.madrid/hospital/12octubre/declaracion-accesibilidad</v>
      </c>
      <c r="D179" s="99" t="s">
        <v>104</v>
      </c>
      <c r="E179" s="79" t="str">
        <f t="shared" si="8"/>
        <v/>
      </c>
      <c r="F179" s="18"/>
      <c r="G179" s="18"/>
      <c r="H179" s="18"/>
      <c r="I179" s="18"/>
      <c r="J179" s="18"/>
      <c r="K179" s="184"/>
    </row>
    <row r="180" spans="1:11"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ref="D180:D205" si="9">IF(AND(B180&lt;&gt;"",C180&lt;&gt;""),"N/T","")</f>
        <v/>
      </c>
      <c r="E180" s="79" t="str">
        <f t="shared" si="8"/>
        <v/>
      </c>
      <c r="F180" s="18"/>
      <c r="G180" s="18"/>
      <c r="H180" s="18"/>
      <c r="I180" s="18"/>
      <c r="J180" s="18"/>
      <c r="K180" s="184"/>
    </row>
    <row r="181" spans="1:11"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https://www.comunidad.madrid/hospital/12octubre/</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https://www.comunidad.madrid/hospital/12octubre/ciudadanos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9</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https://www.comunidad.madrid/hospital/12octubre/profesionales</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https://www.comunidad.madrid/hospital/12octubre/comunicación</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https://www.comunidad.madrid/hospital/12octubre/nosotros</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Centros de especialidades</v>
      </c>
      <c r="C214" s="85" t="str" cm="1">
        <f t="array" ref="C214">IFERROR(INDEX('03.Muestra'!$F$8:$F$42,SMALL(IF("Página Web"='03.Muestra'!$D$8:$D$42,ROW('03.Muestra'!$F$8:$F$42)-MIN(ROW('03.Muestra'!$D$8:$D$42))+1,""),ROW()-208)),"")</f>
        <v>https://www.comunidad.madrid/hospital/12octubre/nosotros/centros-especialidades-perifericos</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Canal solidario</v>
      </c>
      <c r="C215" s="85" t="str" cm="1">
        <f t="array" ref="C215">IFERROR(INDEX('03.Muestra'!$F$8:$F$42,SMALL(IF("Página Web"='03.Muestra'!$D$8:$D$42,ROW('03.Muestra'!$F$8:$F$42)-MIN(ROW('03.Muestra'!$D$8:$D$42))+1,""),ROW()-208)),"")</f>
        <v>https://www.comunidad.madrid/hospital/12octubre/ciudadanos/canal-solidario</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Aniversario</v>
      </c>
      <c r="C216" s="85" t="str" cm="1">
        <f t="array" ref="C216">IFERROR(INDEX('03.Muestra'!$F$8:$F$42,SMALL(IF("Página Web"='03.Muestra'!$D$8:$D$42,ROW('03.Muestra'!$F$8:$F$42)-MIN(ROW('03.Muestra'!$D$8:$D$42))+1,""),ROW()-208)),"")</f>
        <v>https://www.comunidad.madrid/hospital/12octubre/50-aniversario</v>
      </c>
      <c r="D216" s="99" t="s">
        <v>104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https://www.comunidad.madrid/hospital/12octubre/declaracion-accesibilidad</v>
      </c>
      <c r="D217" s="99" t="s">
        <v>104</v>
      </c>
      <c r="E217" s="79" t="str">
        <f t="shared" si="10"/>
        <v/>
      </c>
      <c r="F217" s="18"/>
      <c r="G217" s="18"/>
      <c r="H217" s="18"/>
      <c r="I217" s="18"/>
      <c r="J217" s="18"/>
      <c r="K217" s="184"/>
    </row>
    <row r="218" spans="1:11"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ref="D218:D243" si="11">IF(AND(B218&lt;&gt;"",C218&lt;&gt;""),"N/T","")</f>
        <v/>
      </c>
      <c r="E218" s="79" t="str">
        <f t="shared" si="10"/>
        <v/>
      </c>
      <c r="F218" s="18"/>
      <c r="G218" s="18"/>
      <c r="H218" s="18"/>
      <c r="I218" s="18"/>
      <c r="J218" s="18"/>
      <c r="K218" s="184"/>
    </row>
    <row r="219" spans="1:11"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E19:E53 E57:E91 E95:E129 E133:E167 E171:E205 E209:E243">
    <cfRule type="cellIs" dxfId="229" priority="1232" stopIfTrue="1" operator="equal">
      <formula>"ERR"</formula>
    </cfRule>
  </conditionalFormatting>
  <conditionalFormatting sqref="D19:D53 D57:D91 D95:D129 D133:D167 D171:D205 D209:D243 F19:J19 F57:J57 F95:J95 F133:J133 F171:J171 F209:J209">
    <cfRule type="expression" dxfId="228" priority="1226" stopIfTrue="1">
      <formula>ISBLANK(D19)</formula>
    </cfRule>
    <cfRule type="cellIs" dxfId="227" priority="1227" stopIfTrue="1" operator="equal">
      <formula>"Pasa"</formula>
    </cfRule>
    <cfRule type="cellIs" dxfId="226" priority="1228" stopIfTrue="1" operator="equal">
      <formula>"Falla"</formula>
    </cfRule>
    <cfRule type="cellIs" dxfId="225" priority="1229" stopIfTrue="1" operator="equal">
      <formula>"N/A"</formula>
    </cfRule>
    <cfRule type="cellIs" dxfId="224" priority="1230" stopIfTrue="1" operator="equal">
      <formula>"N/T"</formula>
    </cfRule>
    <cfRule type="cellIs" dxfId="223" priority="1231" stopIfTrue="1" operator="equal">
      <formula>"N/D"</formula>
    </cfRule>
  </conditionalFormatting>
  <conditionalFormatting sqref="D1:D7 D11:D1048576">
    <cfRule type="cellIs" dxfId="222" priority="979" stopIfTrue="1" operator="equal">
      <formula>"-"</formula>
    </cfRule>
  </conditionalFormatting>
  <conditionalFormatting sqref="D19:D53">
    <cfRule type="expression" dxfId="221" priority="469" stopIfTrue="1">
      <formula>ISBLANK(D19)</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19:D53">
    <cfRule type="expression" dxfId="215" priority="463" stopIfTrue="1">
      <formula>ISBLANK(D19)</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D57:D91">
    <cfRule type="expression" dxfId="209" priority="457" stopIfTrue="1">
      <formula>ISBLANK(D57)</formula>
    </cfRule>
    <cfRule type="cellIs" dxfId="208" priority="458" stopIfTrue="1" operator="equal">
      <formula>"Pasa"</formula>
    </cfRule>
    <cfRule type="cellIs" dxfId="207" priority="459" stopIfTrue="1" operator="equal">
      <formula>"Falla"</formula>
    </cfRule>
    <cfRule type="cellIs" dxfId="206" priority="460" stopIfTrue="1" operator="equal">
      <formula>"N/A"</formula>
    </cfRule>
    <cfRule type="cellIs" dxfId="205" priority="461" stopIfTrue="1" operator="equal">
      <formula>"N/T"</formula>
    </cfRule>
    <cfRule type="cellIs" dxfId="204" priority="462" stopIfTrue="1" operator="equal">
      <formula>"N/D"</formula>
    </cfRule>
  </conditionalFormatting>
  <conditionalFormatting sqref="D57:D91">
    <cfRule type="expression" dxfId="203" priority="451" stopIfTrue="1">
      <formula>ISBLANK(D57)</formula>
    </cfRule>
    <cfRule type="cellIs" dxfId="202" priority="452" stopIfTrue="1" operator="equal">
      <formula>"Pasa"</formula>
    </cfRule>
    <cfRule type="cellIs" dxfId="201" priority="453" stopIfTrue="1" operator="equal">
      <formula>"Falla"</formula>
    </cfRule>
    <cfRule type="cellIs" dxfId="200" priority="454" stopIfTrue="1" operator="equal">
      <formula>"N/A"</formula>
    </cfRule>
    <cfRule type="cellIs" dxfId="199" priority="455" stopIfTrue="1" operator="equal">
      <formula>"N/T"</formula>
    </cfRule>
    <cfRule type="cellIs" dxfId="198" priority="456" stopIfTrue="1" operator="equal">
      <formula>"N/D"</formula>
    </cfRule>
  </conditionalFormatting>
  <conditionalFormatting sqref="D95:D129">
    <cfRule type="expression" dxfId="197" priority="445" stopIfTrue="1">
      <formula>ISBLANK(D95)</formula>
    </cfRule>
    <cfRule type="cellIs" dxfId="196" priority="446" stopIfTrue="1" operator="equal">
      <formula>"Pasa"</formula>
    </cfRule>
    <cfRule type="cellIs" dxfId="195" priority="447" stopIfTrue="1" operator="equal">
      <formula>"Falla"</formula>
    </cfRule>
    <cfRule type="cellIs" dxfId="194" priority="448" stopIfTrue="1" operator="equal">
      <formula>"N/A"</formula>
    </cfRule>
    <cfRule type="cellIs" dxfId="193" priority="449" stopIfTrue="1" operator="equal">
      <formula>"N/T"</formula>
    </cfRule>
    <cfRule type="cellIs" dxfId="192" priority="450" stopIfTrue="1" operator="equal">
      <formula>"N/D"</formula>
    </cfRule>
  </conditionalFormatting>
  <conditionalFormatting sqref="D95:D129">
    <cfRule type="expression" dxfId="191" priority="439" stopIfTrue="1">
      <formula>ISBLANK(D95)</formula>
    </cfRule>
    <cfRule type="cellIs" dxfId="190" priority="440" stopIfTrue="1" operator="equal">
      <formula>"Pasa"</formula>
    </cfRule>
    <cfRule type="cellIs" dxfId="189" priority="441" stopIfTrue="1" operator="equal">
      <formula>"Falla"</formula>
    </cfRule>
    <cfRule type="cellIs" dxfId="188" priority="442" stopIfTrue="1" operator="equal">
      <formula>"N/A"</formula>
    </cfRule>
    <cfRule type="cellIs" dxfId="187" priority="443" stopIfTrue="1" operator="equal">
      <formula>"N/T"</formula>
    </cfRule>
    <cfRule type="cellIs" dxfId="186" priority="444" stopIfTrue="1" operator="equal">
      <formula>"N/D"</formula>
    </cfRule>
  </conditionalFormatting>
  <conditionalFormatting sqref="D133:D167">
    <cfRule type="expression" dxfId="185" priority="433" stopIfTrue="1">
      <formula>ISBLANK(D133)</formula>
    </cfRule>
    <cfRule type="cellIs" dxfId="184" priority="434" stopIfTrue="1" operator="equal">
      <formula>"Pasa"</formula>
    </cfRule>
    <cfRule type="cellIs" dxfId="183" priority="435" stopIfTrue="1" operator="equal">
      <formula>"Falla"</formula>
    </cfRule>
    <cfRule type="cellIs" dxfId="182" priority="436" stopIfTrue="1" operator="equal">
      <formula>"N/A"</formula>
    </cfRule>
    <cfRule type="cellIs" dxfId="181" priority="437" stopIfTrue="1" operator="equal">
      <formula>"N/T"</formula>
    </cfRule>
    <cfRule type="cellIs" dxfId="180" priority="438" stopIfTrue="1" operator="equal">
      <formula>"N/D"</formula>
    </cfRule>
  </conditionalFormatting>
  <conditionalFormatting sqref="D133:D167">
    <cfRule type="expression" dxfId="179" priority="427" stopIfTrue="1">
      <formula>ISBLANK(D133)</formula>
    </cfRule>
    <cfRule type="cellIs" dxfId="178" priority="428" stopIfTrue="1" operator="equal">
      <formula>"Pasa"</formula>
    </cfRule>
    <cfRule type="cellIs" dxfId="177" priority="429" stopIfTrue="1" operator="equal">
      <formula>"Falla"</formula>
    </cfRule>
    <cfRule type="cellIs" dxfId="176" priority="430" stopIfTrue="1" operator="equal">
      <formula>"N/A"</formula>
    </cfRule>
    <cfRule type="cellIs" dxfId="175" priority="431" stopIfTrue="1" operator="equal">
      <formula>"N/T"</formula>
    </cfRule>
    <cfRule type="cellIs" dxfId="174" priority="432" stopIfTrue="1" operator="equal">
      <formula>"N/D"</formula>
    </cfRule>
  </conditionalFormatting>
  <conditionalFormatting sqref="D171:D205">
    <cfRule type="expression" dxfId="173" priority="421" stopIfTrue="1">
      <formula>ISBLANK(D171)</formula>
    </cfRule>
    <cfRule type="cellIs" dxfId="172" priority="422" stopIfTrue="1" operator="equal">
      <formula>"Pasa"</formula>
    </cfRule>
    <cfRule type="cellIs" dxfId="171" priority="423" stopIfTrue="1" operator="equal">
      <formula>"Falla"</formula>
    </cfRule>
    <cfRule type="cellIs" dxfId="170" priority="424" stopIfTrue="1" operator="equal">
      <formula>"N/A"</formula>
    </cfRule>
    <cfRule type="cellIs" dxfId="169" priority="425" stopIfTrue="1" operator="equal">
      <formula>"N/T"</formula>
    </cfRule>
    <cfRule type="cellIs" dxfId="168" priority="426" stopIfTrue="1" operator="equal">
      <formula>"N/D"</formula>
    </cfRule>
  </conditionalFormatting>
  <conditionalFormatting sqref="D171:D205">
    <cfRule type="expression" dxfId="167" priority="415" stopIfTrue="1">
      <formula>ISBLANK(D171)</formula>
    </cfRule>
    <cfRule type="cellIs" dxfId="166" priority="416" stopIfTrue="1" operator="equal">
      <formula>"Pasa"</formula>
    </cfRule>
    <cfRule type="cellIs" dxfId="165" priority="417" stopIfTrue="1" operator="equal">
      <formula>"Falla"</formula>
    </cfRule>
    <cfRule type="cellIs" dxfId="164" priority="418" stopIfTrue="1" operator="equal">
      <formula>"N/A"</formula>
    </cfRule>
    <cfRule type="cellIs" dxfId="163" priority="419" stopIfTrue="1" operator="equal">
      <formula>"N/T"</formula>
    </cfRule>
    <cfRule type="cellIs" dxfId="162" priority="420" stopIfTrue="1" operator="equal">
      <formula>"N/D"</formula>
    </cfRule>
  </conditionalFormatting>
  <conditionalFormatting sqref="D209:D243">
    <cfRule type="expression" dxfId="161" priority="409" stopIfTrue="1">
      <formula>ISBLANK(D209)</formula>
    </cfRule>
    <cfRule type="cellIs" dxfId="160" priority="410" stopIfTrue="1" operator="equal">
      <formula>"Pasa"</formula>
    </cfRule>
    <cfRule type="cellIs" dxfId="159" priority="411" stopIfTrue="1" operator="equal">
      <formula>"Falla"</formula>
    </cfRule>
    <cfRule type="cellIs" dxfId="158" priority="412" stopIfTrue="1" operator="equal">
      <formula>"N/A"</formula>
    </cfRule>
    <cfRule type="cellIs" dxfId="157" priority="413" stopIfTrue="1" operator="equal">
      <formula>"N/T"</formula>
    </cfRule>
    <cfRule type="cellIs" dxfId="156" priority="414" stopIfTrue="1" operator="equal">
      <formula>"N/D"</formula>
    </cfRule>
  </conditionalFormatting>
  <conditionalFormatting sqref="D209:D243">
    <cfRule type="expression" dxfId="155" priority="403" stopIfTrue="1">
      <formula>ISBLANK(D209)</formula>
    </cfRule>
    <cfRule type="cellIs" dxfId="154" priority="404" stopIfTrue="1" operator="equal">
      <formula>"Pasa"</formula>
    </cfRule>
    <cfRule type="cellIs" dxfId="153" priority="405" stopIfTrue="1" operator="equal">
      <formula>"Falla"</formula>
    </cfRule>
    <cfRule type="cellIs" dxfId="152" priority="406" stopIfTrue="1" operator="equal">
      <formula>"N/A"</formula>
    </cfRule>
    <cfRule type="cellIs" dxfId="151" priority="407" stopIfTrue="1" operator="equal">
      <formula>"N/T"</formula>
    </cfRule>
    <cfRule type="cellIs" dxfId="150" priority="408" stopIfTrue="1" operator="equal">
      <formula>"N/D"</formula>
    </cfRule>
  </conditionalFormatting>
  <conditionalFormatting sqref="K23">
    <cfRule type="expression" dxfId="149" priority="7" stopIfTrue="1">
      <formula>ISBLANK(K23)</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K24">
    <cfRule type="expression" dxfId="143" priority="1" stopIfTrue="1">
      <formula>ISBLANK(K24)</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BL652"/>
  <sheetViews>
    <sheetView topLeftCell="A106" zoomScale="126" zoomScaleNormal="126" workbookViewId="0">
      <selection activeCell="D179" sqref="D179"/>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65" customHeight="1">
      <c r="B7" s="18"/>
      <c r="C7" s="18"/>
      <c r="D7" s="18"/>
      <c r="E7" s="79"/>
      <c r="F7" s="18"/>
      <c r="G7" s="18"/>
      <c r="H7" s="18"/>
      <c r="I7" s="18"/>
      <c r="J7" s="18"/>
      <c r="K7" s="18"/>
      <c r="L7" s="18"/>
      <c r="M7" s="18"/>
      <c r="N7" s="18"/>
      <c r="O7" s="18"/>
    </row>
    <row r="8" spans="1:64" ht="18.899999999999999" customHeight="1">
      <c r="B8" s="82" t="s">
        <v>246</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27</v>
      </c>
      <c r="H12" s="42">
        <f ca="1">IF(($G$15+$K$15)=0,0,G12/($G$15+$K$15))</f>
        <v>0.6</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18</v>
      </c>
      <c r="H13" s="42">
        <f ca="1">IF(($G$15+$K$15)=0,0,G13/($G$15+$K$15))</f>
        <v>0.4</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0</v>
      </c>
      <c r="H14" s="42">
        <f ca="1">IF(($G$15+$K$15)=0,0,G14/($G$15+$K$15))</f>
        <v>0</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45</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https://www.comunidad.madrid/hospital/12octubre/</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https://www.comunidad.madrid/hospital/12octubre/ciudadanos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9</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https://www.comunidad.madrid/hospital/12octubre/profesionales</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https://www.comunidad.madrid/hospital/12octubre/comunicación</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https://www.comunidad.madrid/hospital/12octubre/nosotros</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Centros de especialidades</v>
      </c>
      <c r="C24" s="85" t="str" cm="1">
        <f t="array" ref="C24">IFERROR(INDEX('03.Muestra'!$F$8:$F$42,SMALL(IF("Página Web"='03.Muestra'!$D$8:$D$42,ROW('03.Muestra'!$F$8:$F$42)-MIN(ROW('03.Muestra'!$D$8:$D$42))+1,""),ROW()-18)),"")</f>
        <v>https://www.comunidad.madrid/hospital/12octubre/nosotros/centros-especialidades-perifericos</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Canal solidario</v>
      </c>
      <c r="C25" s="85" t="str" cm="1">
        <f t="array" ref="C25">IFERROR(INDEX('03.Muestra'!$F$8:$F$42,SMALL(IF("Página Web"='03.Muestra'!$D$8:$D$42,ROW('03.Muestra'!$F$8:$F$42)-MIN(ROW('03.Muestra'!$D$8:$D$42))+1,""),ROW()-18)),"")</f>
        <v>https://www.comunidad.madrid/hospital/12octubre/ciudadanos/canal-solidario</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Aniversario</v>
      </c>
      <c r="C26" s="85" t="str" cm="1">
        <f t="array" ref="C26">IFERROR(INDEX('03.Muestra'!$F$8:$F$42,SMALL(IF("Página Web"='03.Muestra'!$D$8:$D$42,ROW('03.Muestra'!$F$8:$F$42)-MIN(ROW('03.Muestra'!$D$8:$D$42))+1,""),ROW()-18)),"")</f>
        <v>https://www.comunidad.madrid/hospital/12octubre/50-aniversario</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https://www.comunidad.madrid/hospital/12octubre/declaracion-accesibilidad</v>
      </c>
      <c r="D27" s="99" t="s">
        <v>92</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ref="D28:D53" si="1">IF(AND(B28&lt;&gt;"",C28&lt;&gt;""),"N/T","")</f>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https://www.comunidad.madrid/hospital/12octubre/</v>
      </c>
      <c r="D57" s="99" t="s">
        <v>94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https://www.comunidad.madrid/hospital/12octubre/ciudadanos</v>
      </c>
      <c r="D58" s="99" t="s">
        <v>94</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9</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https://www.comunidad.madrid/hospital/12octubre/profesionales</v>
      </c>
      <c r="D59" s="99" t="s">
        <v>94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https://www.comunidad.madrid/hospital/12octubre/comunicación</v>
      </c>
      <c r="D60" s="99" t="s">
        <v>94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https://www.comunidad.madrid/hospital/12octubre/nosotros</v>
      </c>
      <c r="D61" s="99" t="s">
        <v>94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Centros de especialidades</v>
      </c>
      <c r="C62" s="85" t="str" cm="1">
        <f t="array" ref="C62">IFERROR(INDEX('03.Muestra'!$F$8:$F$42,SMALL(IF("Página Web"='03.Muestra'!$D$8:$D$42,ROW('03.Muestra'!$F$8:$F$42)-MIN(ROW('03.Muestra'!$D$8:$D$42))+1,""),ROW()-56)),"")</f>
        <v>https://www.comunidad.madrid/hospital/12octubre/nosotros/centros-especialidades-perifericos</v>
      </c>
      <c r="D62" s="99" t="s">
        <v>94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Canal solidario</v>
      </c>
      <c r="C63" s="85" t="str" cm="1">
        <f t="array" ref="C63">IFERROR(INDEX('03.Muestra'!$F$8:$F$42,SMALL(IF("Página Web"='03.Muestra'!$D$8:$D$42,ROW('03.Muestra'!$F$8:$F$42)-MIN(ROW('03.Muestra'!$D$8:$D$42))+1,""),ROW()-56)),"")</f>
        <v>https://www.comunidad.madrid/hospital/12octubre/ciudadanos/canal-solidario</v>
      </c>
      <c r="D63" s="99" t="s">
        <v>94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Aniversario</v>
      </c>
      <c r="C64" s="85" t="str" cm="1">
        <f t="array" ref="C64">IFERROR(INDEX('03.Muestra'!$F$8:$F$42,SMALL(IF("Página Web"='03.Muestra'!$D$8:$D$42,ROW('03.Muestra'!$F$8:$F$42)-MIN(ROW('03.Muestra'!$D$8:$D$42))+1,""),ROW()-56)),"")</f>
        <v>https://www.comunidad.madrid/hospital/12octubre/50-aniversario</v>
      </c>
      <c r="D64" s="99" t="s">
        <v>94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https://www.comunidad.madrid/hospital/12octubre/declaracion-accesibilidad</v>
      </c>
      <c r="D65" s="99" t="s">
        <v>94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ref="D66:D91" si="3">IF(AND(B66&lt;&gt;"",C66&lt;&gt;""),"N/T","")</f>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https://www.comunidad.madrid/hospital/12octubre/</v>
      </c>
      <c r="D95" s="99" t="s">
        <v>92</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https://www.comunidad.madrid/hospital/12octubre/ciudadanos</v>
      </c>
      <c r="D96" s="99" t="s">
        <v>92</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9</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https://www.comunidad.madrid/hospital/12octubre/profesionales</v>
      </c>
      <c r="D97" s="99" t="s">
        <v>92</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https://www.comunidad.madrid/hospital/12octubre/comunicación</v>
      </c>
      <c r="D98" s="99" t="s">
        <v>92</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https://www.comunidad.madrid/hospital/12octubre/nosotros</v>
      </c>
      <c r="D99" s="99" t="s">
        <v>92</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Centros de especialidades</v>
      </c>
      <c r="C100" s="85" t="str" cm="1">
        <f t="array" ref="C100">IFERROR(INDEX('03.Muestra'!$F$8:$F$42,SMALL(IF("Página Web"='03.Muestra'!$D$8:$D$42,ROW('03.Muestra'!$F$8:$F$42)-MIN(ROW('03.Muestra'!$D$8:$D$42))+1,""),ROW()-94)),"")</f>
        <v>https://www.comunidad.madrid/hospital/12octubre/nosotros/centros-especialidades-perifericos</v>
      </c>
      <c r="D100" s="99" t="s">
        <v>92</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Canal solidario</v>
      </c>
      <c r="C101" s="85" t="str" cm="1">
        <f t="array" ref="C101">IFERROR(INDEX('03.Muestra'!$F$8:$F$42,SMALL(IF("Página Web"='03.Muestra'!$D$8:$D$42,ROW('03.Muestra'!$F$8:$F$42)-MIN(ROW('03.Muestra'!$D$8:$D$42))+1,""),ROW()-94)),"")</f>
        <v>https://www.comunidad.madrid/hospital/12octubre/ciudadanos/canal-solidario</v>
      </c>
      <c r="D101" s="99" t="s">
        <v>92</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Aniversario</v>
      </c>
      <c r="C102" s="85" t="str" cm="1">
        <f t="array" ref="C102">IFERROR(INDEX('03.Muestra'!$F$8:$F$42,SMALL(IF("Página Web"='03.Muestra'!$D$8:$D$42,ROW('03.Muestra'!$F$8:$F$42)-MIN(ROW('03.Muestra'!$D$8:$D$42))+1,""),ROW()-94)),"")</f>
        <v>https://www.comunidad.madrid/hospital/12octubre/50-aniversario</v>
      </c>
      <c r="D102" s="99" t="s">
        <v>92</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https://www.comunidad.madrid/hospital/12octubre/declaracion-accesibilidad</v>
      </c>
      <c r="D103" s="99" t="s">
        <v>92</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ref="D104:D129" si="5">IF(AND(B104&lt;&gt;"",C104&lt;&gt;""),"N/T","")</f>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https://www.comunidad.madrid/hospital/12octubre/</v>
      </c>
      <c r="D133" s="99" t="s">
        <v>92</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https://www.comunidad.madrid/hospital/12octubre/ciudadanos</v>
      </c>
      <c r="D134" s="99" t="s">
        <v>92</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9</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https://www.comunidad.madrid/hospital/12octubre/profesionales</v>
      </c>
      <c r="D135" s="99" t="s">
        <v>92</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https://www.comunidad.madrid/hospital/12octubre/comunicación</v>
      </c>
      <c r="D136" s="99" t="s">
        <v>92</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https://www.comunidad.madrid/hospital/12octubre/nosotros</v>
      </c>
      <c r="D137" s="99" t="s">
        <v>92</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Centros de especialidades</v>
      </c>
      <c r="C138" s="85" t="str" cm="1">
        <f t="array" ref="C138">IFERROR(INDEX('03.Muestra'!$F$8:$F$42,SMALL(IF("Página Web"='03.Muestra'!$D$8:$D$42,ROW('03.Muestra'!$F$8:$F$42)-MIN(ROW('03.Muestra'!$D$8:$D$42))+1,""),ROW()-132)),"")</f>
        <v>https://www.comunidad.madrid/hospital/12octubre/nosotros/centros-especialidades-perifericos</v>
      </c>
      <c r="D138" s="99" t="s">
        <v>92</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Canal solidario</v>
      </c>
      <c r="C139" s="85" t="str" cm="1">
        <f t="array" ref="C139">IFERROR(INDEX('03.Muestra'!$F$8:$F$42,SMALL(IF("Página Web"='03.Muestra'!$D$8:$D$42,ROW('03.Muestra'!$F$8:$F$42)-MIN(ROW('03.Muestra'!$D$8:$D$42))+1,""),ROW()-132)),"")</f>
        <v>https://www.comunidad.madrid/hospital/12octubre/ciudadanos/canal-solidario</v>
      </c>
      <c r="D139" s="99" t="s">
        <v>92</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Aniversario</v>
      </c>
      <c r="C140" s="85" t="str" cm="1">
        <f t="array" ref="C140">IFERROR(INDEX('03.Muestra'!$F$8:$F$42,SMALL(IF("Página Web"='03.Muestra'!$D$8:$D$42,ROW('03.Muestra'!$F$8:$F$42)-MIN(ROW('03.Muestra'!$D$8:$D$42))+1,""),ROW()-132)),"")</f>
        <v>https://www.comunidad.madrid/hospital/12octubre/50-aniversario</v>
      </c>
      <c r="D140" s="99" t="s">
        <v>92</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https://www.comunidad.madrid/hospital/12octubre/declaracion-accesibilidad</v>
      </c>
      <c r="D141" s="99" t="s">
        <v>92</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ref="D142:D167" si="7">IF(AND(B142&lt;&gt;"",C142&lt;&gt;""),"N/T","")</f>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https://www.comunidad.madrid/hospital/12octubre/</v>
      </c>
      <c r="D171" s="99" t="s">
        <v>94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https://www.comunidad.madrid/hospital/12octubre/ciudadanos</v>
      </c>
      <c r="D172" s="99" t="s">
        <v>94</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9</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https://www.comunidad.madrid/hospital/12octubre/profesionales</v>
      </c>
      <c r="D173" s="99" t="s">
        <v>94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https://www.comunidad.madrid/hospital/12octubre/comunicación</v>
      </c>
      <c r="D174" s="99" t="s">
        <v>94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https://www.comunidad.madrid/hospital/12octubre/nosotros</v>
      </c>
      <c r="D175" s="99" t="s">
        <v>94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Centros de especialidades</v>
      </c>
      <c r="C176" s="85" t="str" cm="1">
        <f t="array" ref="C176">IFERROR(INDEX('03.Muestra'!$F$8:$F$42,SMALL(IF("Página Web"='03.Muestra'!$D$8:$D$42,ROW('03.Muestra'!$F$8:$F$42)-MIN(ROW('03.Muestra'!$D$8:$D$42))+1,""),ROW()-170)),"")</f>
        <v>https://www.comunidad.madrid/hospital/12octubre/nosotros/centros-especialidades-perifericos</v>
      </c>
      <c r="D176" s="99" t="s">
        <v>94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Canal solidario</v>
      </c>
      <c r="C177" s="85" t="str" cm="1">
        <f t="array" ref="C177">IFERROR(INDEX('03.Muestra'!$F$8:$F$42,SMALL(IF("Página Web"='03.Muestra'!$D$8:$D$42,ROW('03.Muestra'!$F$8:$F$42)-MIN(ROW('03.Muestra'!$D$8:$D$42))+1,""),ROW()-170)),"")</f>
        <v>https://www.comunidad.madrid/hospital/12octubre/ciudadanos/canal-solidario</v>
      </c>
      <c r="D177" s="99" t="s">
        <v>94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Aniversario</v>
      </c>
      <c r="C178" s="85" t="str" cm="1">
        <f t="array" ref="C178">IFERROR(INDEX('03.Muestra'!$F$8:$F$42,SMALL(IF("Página Web"='03.Muestra'!$D$8:$D$42,ROW('03.Muestra'!$F$8:$F$42)-MIN(ROW('03.Muestra'!$D$8:$D$42))+1,""),ROW()-170)),"")</f>
        <v>https://www.comunidad.madrid/hospital/12octubre/50-aniversario</v>
      </c>
      <c r="D178" s="99" t="s">
        <v>94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https://www.comunidad.madrid/hospital/12octubre/declaracion-accesibilidad</v>
      </c>
      <c r="D179" s="99" t="s">
        <v>94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ref="D180:D205" si="9">IF(AND(B180&lt;&gt;"",C180&lt;&gt;""),"N/T","")</f>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D19:D53 D57:D91 D95:D129 D133:D167 D171:D205 F19:J19 F57:J57 F95:J95 F133:J133 F171:J171">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B1:CV96"/>
  <sheetViews>
    <sheetView tabSelected="1" zoomScale="70" zoomScaleNormal="70" workbookViewId="0">
      <selection activeCell="N2" sqref="N2"/>
    </sheetView>
  </sheetViews>
  <sheetFormatPr baseColWidth="10" defaultColWidth="11.54296875" defaultRowHeight="12.5"/>
  <cols>
    <col min="1" max="1" width="3.08984375" style="14" customWidth="1"/>
    <col min="2" max="2" width="9.08984375" style="84" customWidth="1"/>
    <col min="3" max="3" width="18.54296875" style="27" customWidth="1"/>
    <col min="4" max="4" width="59.36328125" style="14" customWidth="1"/>
    <col min="5" max="29" width="16.453125" style="14" customWidth="1"/>
    <col min="30" max="106" width="19.54296875" style="14" customWidth="1"/>
    <col min="107" max="16384" width="11.5429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40" t="s">
        <v>253</v>
      </c>
      <c r="L6" s="240"/>
      <c r="M6" s="240"/>
      <c r="N6" s="48"/>
      <c r="O6" s="240" t="s">
        <v>254</v>
      </c>
      <c r="P6" s="240"/>
      <c r="Q6" s="240"/>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41" t="s">
        <v>86</v>
      </c>
      <c r="D7" s="242"/>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43" t="s">
        <v>262</v>
      </c>
      <c r="D8" s="244"/>
      <c r="E8" s="38" t="str">
        <f ca="1">CONCATENATE(COUNTIF(E55:CR55,"CONFORME")," (",ROUND(COUNTIF(E55:CR55,"CONFORME")*100/COUNTA($E$19:CR$19),2)," %)")</f>
        <v>25 (27,17 %)</v>
      </c>
      <c r="F8" s="38" t="str">
        <f ca="1">CONCATENATE(COUNTIF(E55:CR55,"NO CONFORME")," (",ROUND(COUNTIF(E55:CR55,"NO CONFORME")*100/COUNTA($E$19:CR$19),2)," %)")</f>
        <v>14 (15,22 %)</v>
      </c>
      <c r="G8" s="39" t="str">
        <f ca="1">CONCATENATE(COUNTIF(E55:CR55,"N/A")," (",ROUND(COUNTIF(E55:CR55,"N/A")*100/COUNTA($E$19:CR$19),2)," %)")</f>
        <v>53 (57,61 %)</v>
      </c>
      <c r="H8" s="39">
        <f ca="1">COUNTIF(E55:CR55,"ERROR")</f>
        <v>0</v>
      </c>
      <c r="I8" s="40">
        <f ca="1">COUNTIF(E55:CR55,"EN CURSO")</f>
        <v>0</v>
      </c>
      <c r="J8" s="187">
        <f ca="1">SUM(VALUE(LEFT(E8,SEARCH(" ",E8)-1)),VALUE(LEFT(F8,SEARCH(" ",F8)-1)))</f>
        <v>39</v>
      </c>
      <c r="K8" s="41" t="s">
        <v>263</v>
      </c>
      <c r="L8" s="38">
        <f ca="1">COUNTIF( $E$20:INDIRECT("$CR$" &amp;  SUM(19,COUNTIFS(B20:B54,"&lt;&gt;"))),"Pasa")+ COUNTIF($E$61:INDIRECT("$AW$" &amp;  SUM(60,COUNTIFS(B61:B95,"&lt;&gt;"))),"Pasa")</f>
        <v>230</v>
      </c>
      <c r="M8" s="42">
        <f ca="1">IF(($L$11+$P$11)=0,0,L8/($L$11+$P$11))</f>
        <v>0.27777777777777779</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9" t="s">
        <v>264</v>
      </c>
      <c r="D9" s="250"/>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65</v>
      </c>
      <c r="M9" s="42">
        <f ca="1">IF(($L$11+$P$11)=0,0,L9/($L$11+$P$11))</f>
        <v>7.85024154589372E-2</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54" t="s">
        <v>265</v>
      </c>
      <c r="D10" s="255"/>
      <c r="E10" s="192" t="str">
        <f ca="1">CONCATENATE(ROUND(E11/137*100,2)," %")</f>
        <v>18,25 %</v>
      </c>
      <c r="F10" s="192" t="str">
        <f ca="1">CONCATENATE(ROUND(F11/137*100,2)," %")</f>
        <v>10,22 %</v>
      </c>
      <c r="G10" s="192" t="str">
        <f ca="1">CONCATENATE(ROUND(G11/137*100,2)," %")</f>
        <v>71,53 %</v>
      </c>
      <c r="H10" s="192" t="str">
        <f ca="1">CONCATENATE(ROUND(H11/137*100,2)," %")</f>
        <v>0 %</v>
      </c>
      <c r="I10" s="194" t="str">
        <f ca="1">CONCATENATE(ROUND(I11/137*100,2)," %")</f>
        <v>0 %</v>
      </c>
      <c r="J10" s="195"/>
      <c r="K10" s="41" t="s">
        <v>97</v>
      </c>
      <c r="L10" s="38">
        <f ca="1">COUNTIF( $E$20:INDIRECT("$CR$" &amp;  SUM(19,COUNTIFS(B20:B54,"&lt;&gt;"))),"N/A")+COUNTIF($E$61:INDIRECT("$AW$" &amp;  SUM(60,COUNTIFS(B61:B95,"&lt;&gt;"))),"N/A")</f>
        <v>533</v>
      </c>
      <c r="M10" s="42">
        <f ca="1">IF(($L$11+$P$11)=0,0,L10/($L$11+$P$11))</f>
        <v>0.643719806763285</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8"/>
      <c r="D11" s="248"/>
      <c r="E11" s="193">
        <f ca="1">SUM(VALUE(LEFT(E8,SEARCH(" ",E8)-1)),VALUE(LEFT(E9,SEARCH(" ",E9)-1)))</f>
        <v>25</v>
      </c>
      <c r="F11" s="193">
        <f ca="1">SUM(VALUE(LEFT(F8,SEARCH(" ",F8)-1)),VALUE(LEFT(F9,SEARCH(" ",F9)-1)))</f>
        <v>14</v>
      </c>
      <c r="G11" s="193">
        <f ca="1">SUM(VALUE(LEFT(G8,SEARCH(" ",G8)-1)),VALUE(LEFT(G9,SEARCH(" ",G9)-1)))</f>
        <v>98</v>
      </c>
      <c r="H11" s="193">
        <f ca="1">SUM(H8:H9)</f>
        <v>0</v>
      </c>
      <c r="I11" s="193">
        <f ca="1">SUM(I8:I9)</f>
        <v>0</v>
      </c>
      <c r="K11" s="43" t="s">
        <v>266</v>
      </c>
      <c r="L11" s="203">
        <f ca="1">SUM(L8:L10)</f>
        <v>828</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267</v>
      </c>
      <c r="E13" s="18"/>
      <c r="F13" s="251" t="s">
        <v>268</v>
      </c>
      <c r="G13" s="252"/>
      <c r="H13" s="252"/>
      <c r="I13" s="253"/>
      <c r="J13" s="18"/>
      <c r="K13" s="251" t="s">
        <v>269</v>
      </c>
      <c r="L13" s="253"/>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45">
        <f ca="1">IF(AND(D14&lt;&gt;"Evaluación en curso",D14&lt;&gt;"Evaluación con errores",D14&lt;&gt;""), IF(J8=0,"", ROUND(((COUNT(B20:B54)/(COUNT(B20:B54)+COUNT(B61:B95)))*IF(J8=0,0,LEFT(E8,SEARCH(" ",E8)-1)/J8)+(COUNT(B61:B95)/(COUNT(B20:B54)+COUNT(B61:B95)))*IF(J9=0,0,LEFT(E9,SEARCH(" ",E9)-1)/J9))*10,2)),"")</f>
        <v>6.41</v>
      </c>
      <c r="G14" s="246"/>
      <c r="H14" s="246"/>
      <c r="I14" s="247"/>
      <c r="J14" s="18"/>
      <c r="K14" s="245" t="str">
        <f>'03.Muestra'!D52</f>
        <v>SI</v>
      </c>
      <c r="L14" s="247"/>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6" t="s">
        <v>262</v>
      </c>
      <c r="C17" s="237"/>
      <c r="D17" s="238"/>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3" t="s">
        <v>270</v>
      </c>
      <c r="C18" s="234"/>
      <c r="D18" s="235"/>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Home</v>
      </c>
      <c r="D20" s="74" t="str" cm="1">
        <f t="array" ref="D20">IFERROR(INDEX('03.Muestra'!$F$8:$F$42,SMALL(IF("Página Web"='03.Muestra'!$D$8:$D$42,ROW('03.Muestra'!$F$8:$F$42)-MIN(ROW('03.Muestra'!$D$8:$D$42))+1,""),ROW()-19)),"")</f>
        <v>https://www.comunidad.madrid/hospital/12octubre/</v>
      </c>
      <c r="E20" s="75" t="str" cm="1">
        <f t="array" aca="1" ref="E20" ca="1">IF($B20="","",IF(ISBLANK(INDIRECT("R5.Genéricos!D"&amp;SUM(18,38*0,1))),"",INDIRECT("R5.Genéricos!D"&amp;SUM(18,38*0,1))))</f>
        <v>Pasa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Falla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Pasa</v>
      </c>
      <c r="AQ20" s="75" t="str" cm="1">
        <f t="array" aca="1" ref="AQ20" ca="1">IF($B20="","",IF(ISBLANK(INDIRECT("R9.Web!D"&amp;SUM(18,38*7,1))),"",INDIRECT("R9.Web!D"&amp;SUM(18,38*7,1))))</f>
        <v>Falla</v>
      </c>
      <c r="AR20" s="75" t="str" cm="1">
        <f t="array" aca="1" ref="AR20" ca="1">IF($B20="","",IF(ISBLANK(INDIRECT("R9.Web!D"&amp;SUM(18,38*8,1))),"",INDIRECT("R9.Web!D"&amp;SUM(18,38*8,1))))</f>
        <v>N/A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Falla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Pasa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Falla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Falla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Pasa</v>
      </c>
      <c r="BP20" s="75" t="str" cm="1">
        <f t="array" aca="1" ref="BP20" ca="1">IF($B20="","",IF(ISBLANK(INDIRECT("R9.Web!D"&amp;SUM(18,38*32,1))),"",INDIRECT("R9.Web!D"&amp;SUM(18,38*32,1))))</f>
        <v>N/A</v>
      </c>
      <c r="BQ20" s="75" t="str" cm="1">
        <f t="array" aca="1" ref="BQ20" ca="1">IF($B20="","",IF(ISBLANK(INDIRECT("R9.Web!D"&amp;SUM(18,38*33,1))),"",INDIRECT("R9.Web!D"&amp;SUM(18,38*33,1))))</f>
        <v>N/A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N/A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N/A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Falla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Pasa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Falla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Ciudadanos</v>
      </c>
      <c r="D21" s="74" t="str" cm="1">
        <f t="array" ref="D21">IFERROR(INDEX('03.Muestra'!$F$8:$F$42,SMALL(IF("Página Web"='03.Muestra'!$D$8:$D$42,ROW('03.Muestra'!$F$8:$F$42)-MIN(ROW('03.Muestra'!$D$8:$D$42))+1,""),ROW()-19)),"")</f>
        <v>https://www.comunidad.madrid/hospital/12octubre/ciudadanos</v>
      </c>
      <c r="E21" s="75" t="str" cm="1">
        <f t="array" aca="1" ref="E21" ca="1">IF($B21="","",IF(ISBLANK(INDIRECT("R5.Genéricos!D"&amp;SUM(18,38*0,2))),"",INDIRECT("R5.Genéricos!D"&amp;SUM(18,38*0,2))))</f>
        <v>Pasa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Pasa</v>
      </c>
      <c r="AQ21" s="75" t="str" cm="1">
        <f t="array" aca="1" ref="AQ21" ca="1">IF($B21="","",IF(ISBLANK(INDIRECT("R9.Web!D"&amp;SUM(18,38*7,2))),"",INDIRECT("R9.Web!D"&amp;SUM(18,38*7,2))))</f>
        <v>Falla</v>
      </c>
      <c r="AR21" s="75" t="str" cm="1">
        <f t="array" aca="1" ref="AR21" ca="1">IF($B21="","",IF(ISBLANK(INDIRECT("R9.Web!D"&amp;SUM(18,38*8,2))),"",INDIRECT("R9.Web!D"&amp;SUM(18,38*8,2))))</f>
        <v>N/A</v>
      </c>
      <c r="AS21" s="75" t="str" cm="1">
        <f t="array" aca="1" ref="AS21" ca="1">IF($B21="","",IF(ISBLANK(INDIRECT("R9.Web!D"&amp;SUM(18,38*9,2))),"",INDIRECT("R9.Web!D"&amp;SUM(18,38*9,2))))</f>
        <v>N/A</v>
      </c>
      <c r="AT21" s="75" t="str" cm="1">
        <f t="array" aca="1" ref="AT21" ca="1">IF($B21="","",IF(ISBLANK(INDIRECT("R9.Web!D"&amp;SUM(18,38*10,2))),"",INDIRECT("R9.Web!D"&amp;SUM(18,38*10,2))))</f>
        <v>N/A</v>
      </c>
      <c r="AU21" s="75" t="str" cm="1">
        <f t="array" aca="1" ref="AU21" ca="1">IF($B21="","",IF(ISBLANK(INDIRECT("R9.Web!D"&amp;SUM(18,38*11,2))),"",INDIRECT("R9.Web!D"&amp;SUM(18,38*11,2))))</f>
        <v>N/A</v>
      </c>
      <c r="AV21" s="75" t="str" cm="1">
        <f t="array" aca="1" ref="AV21" ca="1">IF($B21="","",IF(ISBLANK(INDIRECT("R9.Web!D"&amp;SUM(18,38*12,2))),"",INDIRECT("R9.Web!D"&amp;SUM(18,38*12,2))))</f>
        <v>Falla</v>
      </c>
      <c r="AW21" s="75" t="str" cm="1">
        <f t="array" aca="1" ref="AW21" ca="1">IF($B21="","",IF(ISBLANK(INDIRECT("R9.Web!D"&amp;SUM(18,38*13,2))),"",INDIRECT("R9.Web!D"&amp;SUM(18,38*13,2))))</f>
        <v>Pasa</v>
      </c>
      <c r="AX21" s="75" t="str" cm="1">
        <f t="array" aca="1" ref="AX21" ca="1">IF($B21="","",IF(ISBLANK(INDIRECT("R9.Web!D"&amp;SUM(18,38*14,2))),"",INDIRECT("R9.Web!D"&amp;SUM(18,38*14,2))))</f>
        <v>N/A</v>
      </c>
      <c r="AY21" s="75" t="str" cm="1">
        <f t="array" aca="1" ref="AY21" ca="1">IF($B21="","",IF(ISBLANK(INDIRECT("R9.Web!D"&amp;SUM(18,38*15,2))),"",INDIRECT("R9.Web!D"&amp;SUM(18,38*15,2))))</f>
        <v>Pasa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N/A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N/A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N/A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Pasa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Falla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Profesionales</v>
      </c>
      <c r="D22" s="74" t="str" cm="1">
        <f t="array" ref="D22">IFERROR(INDEX('03.Muestra'!$F$8:$F$42,SMALL(IF("Página Web"='03.Muestra'!$D$8:$D$42,ROW('03.Muestra'!$F$8:$F$42)-MIN(ROW('03.Muestra'!$D$8:$D$42))+1,""),ROW()-19)),"")</f>
        <v>https://www.comunidad.madrid/hospital/12octubre/profesionales</v>
      </c>
      <c r="E22" s="75" t="str" cm="1">
        <f t="array" aca="1" ref="E22" ca="1">IF($B22="","",IF(ISBLANK(INDIRECT("R5.Genéricos!D"&amp;SUM(18,38*0,3))),"",INDIRECT("R5.Genéricos!D"&amp;SUM(18,38*0,3))))</f>
        <v>Pasa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Pasa</v>
      </c>
      <c r="AQ22" s="75" t="str" cm="1">
        <f t="array" aca="1" ref="AQ22" ca="1">IF($B22="","",IF(ISBLANK(INDIRECT("R9.Web!D"&amp;SUM(18,38*7,3))),"",INDIRECT("R9.Web!D"&amp;SUM(18,38*7,3))))</f>
        <v>Falla</v>
      </c>
      <c r="AR22" s="75" t="str" cm="1">
        <f t="array" aca="1" ref="AR22" ca="1">IF($B22="","",IF(ISBLANK(INDIRECT("R9.Web!D"&amp;SUM(18,38*8,3))),"",INDIRECT("R9.Web!D"&amp;SUM(18,38*8,3))))</f>
        <v>N/A</v>
      </c>
      <c r="AS22" s="75" t="str" cm="1">
        <f t="array" aca="1" ref="AS22" ca="1">IF($B22="","",IF(ISBLANK(INDIRECT("R9.Web!D"&amp;SUM(18,38*9,3))),"",INDIRECT("R9.Web!D"&amp;SUM(18,38*9,3))))</f>
        <v>N/A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Falla</v>
      </c>
      <c r="AW22" s="75" t="str" cm="1">
        <f t="array" aca="1" ref="AW22" ca="1">IF($B22="","",IF(ISBLANK(INDIRECT("R9.Web!D"&amp;SUM(18,38*13,3))),"",INDIRECT("R9.Web!D"&amp;SUM(18,38*13,3))))</f>
        <v>Pasa</v>
      </c>
      <c r="AX22" s="75" t="str" cm="1">
        <f t="array" aca="1" ref="AX22" ca="1">IF($B22="","",IF(ISBLANK(INDIRECT("R9.Web!D"&amp;SUM(18,38*14,3))),"",INDIRECT("R9.Web!D"&amp;SUM(18,38*14,3))))</f>
        <v>N/A</v>
      </c>
      <c r="AY22" s="75" t="str" cm="1">
        <f t="array" aca="1" ref="AY22" ca="1">IF($B22="","",IF(ISBLANK(INDIRECT("R9.Web!D"&amp;SUM(18,38*15,3))),"",INDIRECT("R9.Web!D"&amp;SUM(18,38*15,3))))</f>
        <v>Pasa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Pasa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Pasa</v>
      </c>
      <c r="BP22" s="75" t="str" cm="1">
        <f t="array" aca="1" ref="BP22" ca="1">IF($B22="","",IF(ISBLANK(INDIRECT("R9.Web!D"&amp;SUM(18,38*32,3))),"",INDIRECT("R9.Web!D"&amp;SUM(18,38*32,3))))</f>
        <v>N/A</v>
      </c>
      <c r="BQ22" s="75" t="str" cm="1">
        <f t="array" aca="1" ref="BQ22" ca="1">IF($B22="","",IF(ISBLANK(INDIRECT("R9.Web!D"&amp;SUM(18,38*33,3))),"",INDIRECT("R9.Web!D"&amp;SUM(18,38*33,3))))</f>
        <v>N/A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N/A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N/A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Pasa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Falla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Comunicación</v>
      </c>
      <c r="D23" s="74" t="str" cm="1">
        <f t="array" ref="D23">IFERROR(INDEX('03.Muestra'!$F$8:$F$42,SMALL(IF("Página Web"='03.Muestra'!$D$8:$D$42,ROW('03.Muestra'!$F$8:$F$42)-MIN(ROW('03.Muestra'!$D$8:$D$42))+1,""),ROW()-19)),"")</f>
        <v>https://www.comunidad.madrid/hospital/12octubre/comunicación</v>
      </c>
      <c r="E23" s="75" t="str" cm="1">
        <f t="array" aca="1" ref="E23" ca="1">IF($B23="","",IF(ISBLANK(INDIRECT("R5.Genéricos!D"&amp;SUM(18,38*0,4))),"",INDIRECT("R5.Genéricos!D"&amp;SUM(18,38*0,4))))</f>
        <v>Pasa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Pasa</v>
      </c>
      <c r="AQ23" s="75" t="str" cm="1">
        <f t="array" aca="1" ref="AQ23" ca="1">IF($B23="","",IF(ISBLANK(INDIRECT("R9.Web!D"&amp;SUM(18,38*7,4))),"",INDIRECT("R9.Web!D"&amp;SUM(18,38*7,4))))</f>
        <v>Falla</v>
      </c>
      <c r="AR23" s="75" t="str" cm="1">
        <f t="array" aca="1" ref="AR23" ca="1">IF($B23="","",IF(ISBLANK(INDIRECT("R9.Web!D"&amp;SUM(18,38*8,4))),"",INDIRECT("R9.Web!D"&amp;SUM(18,38*8,4))))</f>
        <v>N/A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Falla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Pasa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N/A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N/A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N/A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Pasa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Falla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Nosotros</v>
      </c>
      <c r="D24" s="74" t="str" cm="1">
        <f t="array" ref="D24">IFERROR(INDEX('03.Muestra'!$F$8:$F$42,SMALL(IF("Página Web"='03.Muestra'!$D$8:$D$42,ROW('03.Muestra'!$F$8:$F$42)-MIN(ROW('03.Muestra'!$D$8:$D$42))+1,""),ROW()-19)),"")</f>
        <v>https://www.comunidad.madrid/hospital/12octubre/nosotros</v>
      </c>
      <c r="E24" s="75" t="str" cm="1">
        <f t="array" aca="1" ref="E24" ca="1">IF($B24="","",IF(ISBLANK(INDIRECT("R5.Genéricos!D"&amp;SUM(18,38*0,5))),"",INDIRECT("R5.Genéricos!D"&amp;SUM(18,38*0,5))))</f>
        <v>Pasa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Pasa</v>
      </c>
      <c r="AQ24" s="75" t="str" cm="1">
        <f t="array" aca="1" ref="AQ24" ca="1">IF($B24="","",IF(ISBLANK(INDIRECT("R9.Web!D"&amp;SUM(18,38*7,5))),"",INDIRECT("R9.Web!D"&amp;SUM(18,38*7,5))))</f>
        <v>Falla</v>
      </c>
      <c r="AR24" s="75" t="str" cm="1">
        <f t="array" aca="1" ref="AR24" ca="1">IF($B24="","",IF(ISBLANK(INDIRECT("R9.Web!D"&amp;SUM(18,38*8,5))),"",INDIRECT("R9.Web!D"&amp;SUM(18,38*8,5))))</f>
        <v>N/A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Falla</v>
      </c>
      <c r="AW24" s="75" t="str" cm="1">
        <f t="array" aca="1" ref="AW24" ca="1">IF($B24="","",IF(ISBLANK(INDIRECT("R9.Web!D"&amp;SUM(18,38*13,5))),"",INDIRECT("R9.Web!D"&amp;SUM(18,38*13,5))))</f>
        <v>Pasa</v>
      </c>
      <c r="AX24" s="75" t="str" cm="1">
        <f t="array" aca="1" ref="AX24" ca="1">IF($B24="","",IF(ISBLANK(INDIRECT("R9.Web!D"&amp;SUM(18,38*14,5))),"",INDIRECT("R9.Web!D"&amp;SUM(18,38*14,5))))</f>
        <v>N/A</v>
      </c>
      <c r="AY24" s="75" t="str" cm="1">
        <f t="array" aca="1" ref="AY24" ca="1">IF($B24="","",IF(ISBLANK(INDIRECT("R9.Web!D"&amp;SUM(18,38*15,5))),"",INDIRECT("R9.Web!D"&amp;SUM(18,38*15,5))))</f>
        <v>Pasa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N/A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N/A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N/A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Pasa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Falla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Centros de especialidades</v>
      </c>
      <c r="D25" s="74" t="str" cm="1">
        <f t="array" ref="D25">IFERROR(INDEX('03.Muestra'!$F$8:$F$42,SMALL(IF("Página Web"='03.Muestra'!$D$8:$D$42,ROW('03.Muestra'!$F$8:$F$42)-MIN(ROW('03.Muestra'!$D$8:$D$42))+1,""),ROW()-19)),"")</f>
        <v>https://www.comunidad.madrid/hospital/12octubre/nosotros/centros-especialidades-perifericos</v>
      </c>
      <c r="E25" s="75" t="str" cm="1">
        <f t="array" aca="1" ref="E25" ca="1">IF($B25="","",IF(ISBLANK(INDIRECT("R5.Genéricos!D"&amp;SUM(18,38*0,6))),"",INDIRECT("R5.Genéricos!D"&amp;SUM(18,38*0,6))))</f>
        <v>Pasa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Pasa</v>
      </c>
      <c r="AQ25" s="75" t="str" cm="1">
        <f t="array" aca="1" ref="AQ25" ca="1">IF($B25="","",IF(ISBLANK(INDIRECT("R9.Web!D"&amp;SUM(18,38*7,6))),"",INDIRECT("R9.Web!D"&amp;SUM(18,38*7,6))))</f>
        <v>Falla</v>
      </c>
      <c r="AR25" s="75" t="str" cm="1">
        <f t="array" aca="1" ref="AR25" ca="1">IF($B25="","",IF(ISBLANK(INDIRECT("R9.Web!D"&amp;SUM(18,38*8,6))),"",INDIRECT("R9.Web!D"&amp;SUM(18,38*8,6))))</f>
        <v>N/A</v>
      </c>
      <c r="AS25" s="75" t="str" cm="1">
        <f t="array" aca="1" ref="AS25" ca="1">IF($B25="","",IF(ISBLANK(INDIRECT("R9.Web!D"&amp;SUM(18,38*9,6))),"",INDIRECT("R9.Web!D"&amp;SUM(18,38*9,6))))</f>
        <v>N/A</v>
      </c>
      <c r="AT25" s="75" t="str" cm="1">
        <f t="array" aca="1" ref="AT25" ca="1">IF($B25="","",IF(ISBLANK(INDIRECT("R9.Web!D"&amp;SUM(18,38*10,6))),"",INDIRECT("R9.Web!D"&amp;SUM(18,38*10,6))))</f>
        <v>N/A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Pasa</v>
      </c>
      <c r="AX25" s="75" t="str" cm="1">
        <f t="array" aca="1" ref="AX25" ca="1">IF($B25="","",IF(ISBLANK(INDIRECT("R9.Web!D"&amp;SUM(18,38*14,6))),"",INDIRECT("R9.Web!D"&amp;SUM(18,38*14,6))))</f>
        <v>N/A</v>
      </c>
      <c r="AY25" s="75" t="str" cm="1">
        <f t="array" aca="1" ref="AY25" ca="1">IF($B25="","",IF(ISBLANK(INDIRECT("R9.Web!D"&amp;SUM(18,38*15,6))),"",INDIRECT("R9.Web!D"&amp;SUM(18,38*15,6))))</f>
        <v>Pasa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N/A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N/A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N/A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Falla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Pasa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Falla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Canal solidario</v>
      </c>
      <c r="D26" s="74" t="str" cm="1">
        <f t="array" ref="D26">IFERROR(INDEX('03.Muestra'!$F$8:$F$42,SMALL(IF("Página Web"='03.Muestra'!$D$8:$D$42,ROW('03.Muestra'!$F$8:$F$42)-MIN(ROW('03.Muestra'!$D$8:$D$42))+1,""),ROW()-19)),"")</f>
        <v>https://www.comunidad.madrid/hospital/12octubre/ciudadanos/canal-solidario</v>
      </c>
      <c r="E26" s="75" t="str" cm="1">
        <f t="array" aca="1" ref="E26" ca="1">IF($B26="","",IF(ISBLANK(INDIRECT("R5.Genéricos!D"&amp;SUM(18,38*0,7))),"",INDIRECT("R5.Genéricos!D"&amp;SUM(18,38*0,7))))</f>
        <v>Pasa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Pasa</v>
      </c>
      <c r="AQ26" s="75" t="str" cm="1">
        <f t="array" aca="1" ref="AQ26" ca="1">IF($B26="","",IF(ISBLANK(INDIRECT("R9.Web!D"&amp;SUM(18,38*7,7))),"",INDIRECT("R9.Web!D"&amp;SUM(18,38*7,7))))</f>
        <v>Falla</v>
      </c>
      <c r="AR26" s="75" t="str" cm="1">
        <f t="array" aca="1" ref="AR26" ca="1">IF($B26="","",IF(ISBLANK(INDIRECT("R9.Web!D"&amp;SUM(18,38*8,7))),"",INDIRECT("R9.Web!D"&amp;SUM(18,38*8,7))))</f>
        <v>N/A</v>
      </c>
      <c r="AS26" s="75" t="str" cm="1">
        <f t="array" aca="1" ref="AS26" ca="1">IF($B26="","",IF(ISBLANK(INDIRECT("R9.Web!D"&amp;SUM(18,38*9,7))),"",INDIRECT("R9.Web!D"&amp;SUM(18,38*9,7))))</f>
        <v>N/A</v>
      </c>
      <c r="AT26" s="75" t="str" cm="1">
        <f t="array" aca="1" ref="AT26" ca="1">IF($B26="","",IF(ISBLANK(INDIRECT("R9.Web!D"&amp;SUM(18,38*10,7))),"",INDIRECT("R9.Web!D"&amp;SUM(18,38*10,7))))</f>
        <v>N/A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Pasa</v>
      </c>
      <c r="AX26" s="75" t="str" cm="1">
        <f t="array" aca="1" ref="AX26" ca="1">IF($B26="","",IF(ISBLANK(INDIRECT("R9.Web!D"&amp;SUM(18,38*14,7))),"",INDIRECT("R9.Web!D"&amp;SUM(18,38*14,7))))</f>
        <v>N/A</v>
      </c>
      <c r="AY26" s="75" t="str" cm="1">
        <f t="array" aca="1" ref="AY26" ca="1">IF($B26="","",IF(ISBLANK(INDIRECT("R9.Web!D"&amp;SUM(18,38*15,7))),"",INDIRECT("R9.Web!D"&amp;SUM(18,38*15,7))))</f>
        <v>Pasa</v>
      </c>
      <c r="AZ26" s="75" t="str" cm="1">
        <f t="array" aca="1" ref="AZ26" ca="1">IF($B26="","",IF(ISBLANK(INDIRECT("R9.Web!D"&amp;SUM(18,38*16,7))),"",INDIRECT("R9.Web!D"&amp;SUM(18,38*16,7))))</f>
        <v>Pasa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Pasa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N/A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N/A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N/A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Pasa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Falla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Aniversario</v>
      </c>
      <c r="D27" s="74" t="str" cm="1">
        <f t="array" ref="D27">IFERROR(INDEX('03.Muestra'!$F$8:$F$42,SMALL(IF("Página Web"='03.Muestra'!$D$8:$D$42,ROW('03.Muestra'!$F$8:$F$42)-MIN(ROW('03.Muestra'!$D$8:$D$42))+1,""),ROW()-19)),"")</f>
        <v>https://www.comunidad.madrid/hospital/12octubre/50-aniversario</v>
      </c>
      <c r="E27" s="75" t="str" cm="1">
        <f t="array" aca="1" ref="E27" ca="1">IF($B27="","",IF(ISBLANK(INDIRECT("R5.Genéricos!D"&amp;SUM(18,38*0,8))),"",INDIRECT("R5.Genéricos!D"&amp;SUM(18,38*0,8))))</f>
        <v>Pasa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Pasa</v>
      </c>
      <c r="AB27" s="75" t="str" cm="1">
        <f t="array" aca="1" ref="AB27" ca="1">IF($B27="","",IF(ISBLANK(INDIRECT("R7.Video!D"&amp;SUM(18,38*1,8))),"",INDIRECT("R7.Video!D"&amp;SUM(18,38*1,8))))</f>
        <v>Pasa</v>
      </c>
      <c r="AC27" s="75" t="str" cm="1">
        <f t="array" aca="1" ref="AC27" ca="1">IF($B27="","",IF(ISBLANK(INDIRECT("R7.Video!D"&amp;SUM(18,38*2,8))),"",INDIRECT("R7.Video!D"&amp;SUM(18,38*2,8))))</f>
        <v>Pasa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Pasa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Pasa</v>
      </c>
      <c r="AQ27" s="75" t="str" cm="1">
        <f t="array" aca="1" ref="AQ27" ca="1">IF($B27="","",IF(ISBLANK(INDIRECT("R9.Web!D"&amp;SUM(18,38*7,8))),"",INDIRECT("R9.Web!D"&amp;SUM(18,38*7,8))))</f>
        <v>Falla</v>
      </c>
      <c r="AR27" s="75" t="str" cm="1">
        <f t="array" aca="1" ref="AR27" ca="1">IF($B27="","",IF(ISBLANK(INDIRECT("R9.Web!D"&amp;SUM(18,38*8,8))),"",INDIRECT("R9.Web!D"&amp;SUM(18,38*8,8))))</f>
        <v>N/A</v>
      </c>
      <c r="AS27" s="75" t="str" cm="1">
        <f t="array" aca="1" ref="AS27" ca="1">IF($B27="","",IF(ISBLANK(INDIRECT("R9.Web!D"&amp;SUM(18,38*9,8))),"",INDIRECT("R9.Web!D"&amp;SUM(18,38*9,8))))</f>
        <v>N/A</v>
      </c>
      <c r="AT27" s="75" t="str" cm="1">
        <f t="array" aca="1" ref="AT27" ca="1">IF($B27="","",IF(ISBLANK(INDIRECT("R9.Web!D"&amp;SUM(18,38*10,8))),"",INDIRECT("R9.Web!D"&amp;SUM(18,38*10,8))))</f>
        <v>N/A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Pasa</v>
      </c>
      <c r="AX27" s="75" t="str" cm="1">
        <f t="array" aca="1" ref="AX27" ca="1">IF($B27="","",IF(ISBLANK(INDIRECT("R9.Web!D"&amp;SUM(18,38*14,8))),"",INDIRECT("R9.Web!D"&amp;SUM(18,38*14,8))))</f>
        <v>N/A</v>
      </c>
      <c r="AY27" s="75" t="str" cm="1">
        <f t="array" aca="1" ref="AY27" ca="1">IF($B27="","",IF(ISBLANK(INDIRECT("R9.Web!D"&amp;SUM(18,38*15,8))),"",INDIRECT("R9.Web!D"&amp;SUM(18,38*15,8))))</f>
        <v>Pasa</v>
      </c>
      <c r="AZ27" s="75" t="str" cm="1">
        <f t="array" aca="1" ref="AZ27" ca="1">IF($B27="","",IF(ISBLANK(INDIRECT("R9.Web!D"&amp;SUM(18,38*16,8))),"",INDIRECT("R9.Web!D"&amp;SUM(18,38*16,8))))</f>
        <v>Pasa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Pasa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Pasa</v>
      </c>
      <c r="BP27" s="75" t="str" cm="1">
        <f t="array" aca="1" ref="BP27" ca="1">IF($B27="","",IF(ISBLANK(INDIRECT("R9.Web!D"&amp;SUM(18,38*32,8))),"",INDIRECT("R9.Web!D"&amp;SUM(18,38*32,8))))</f>
        <v>N/A</v>
      </c>
      <c r="BQ27" s="75" t="str" cm="1">
        <f t="array" aca="1" ref="BQ27" ca="1">IF($B27="","",IF(ISBLANK(INDIRECT("R9.Web!D"&amp;SUM(18,38*33,8))),"",INDIRECT("R9.Web!D"&amp;SUM(18,38*33,8))))</f>
        <v>N/A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N/A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N/A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Pasa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Falla</v>
      </c>
      <c r="CU27" s="76"/>
    </row>
    <row r="28" spans="2:100" ht="20.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Accesibilidad</v>
      </c>
      <c r="D28" s="74" t="str" cm="1">
        <f t="array" ref="D28">IFERROR(INDEX('03.Muestra'!$F$8:$F$42,SMALL(IF("Página Web"='03.Muestra'!$D$8:$D$42,ROW('03.Muestra'!$F$8:$F$42)-MIN(ROW('03.Muestra'!$D$8:$D$42))+1,""),ROW()-19)),"")</f>
        <v>https://www.comunidad.madrid/hospital/12octubre/declaracion-accesibilidad</v>
      </c>
      <c r="E28" s="75" t="str" cm="1">
        <f t="array" aca="1" ref="E28" ca="1">IF($B28="","",IF(ISBLANK(INDIRECT("R5.Genéricos!D"&amp;SUM(18,38*0,9))),"",INDIRECT("R5.Genéricos!D"&amp;SUM(18,38*0,9))))</f>
        <v>Pasa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Falla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Pasa</v>
      </c>
      <c r="AQ28" s="75" t="str" cm="1">
        <f t="array" aca="1" ref="AQ28" ca="1">IF($B28="","",IF(ISBLANK(INDIRECT("R9.Web!D"&amp;SUM(18,38*7,9))),"",INDIRECT("R9.Web!D"&amp;SUM(18,38*7,9))))</f>
        <v>Falla</v>
      </c>
      <c r="AR28" s="75" t="str" cm="1">
        <f t="array" aca="1" ref="AR28" ca="1">IF($B28="","",IF(ISBLANK(INDIRECT("R9.Web!D"&amp;SUM(18,38*8,9))),"",INDIRECT("R9.Web!D"&amp;SUM(18,38*8,9))))</f>
        <v>N/A</v>
      </c>
      <c r="AS28" s="75" t="str" cm="1">
        <f t="array" aca="1" ref="AS28" ca="1">IF($B28="","",IF(ISBLANK(INDIRECT("R9.Web!D"&amp;SUM(18,38*9,9))),"",INDIRECT("R9.Web!D"&amp;SUM(18,38*9,9))))</f>
        <v>N/A</v>
      </c>
      <c r="AT28" s="75" t="str" cm="1">
        <f t="array" aca="1" ref="AT28" ca="1">IF($B28="","",IF(ISBLANK(INDIRECT("R9.Web!D"&amp;SUM(18,38*10,9))),"",INDIRECT("R9.Web!D"&amp;SUM(18,38*10,9))))</f>
        <v>N/A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Pasa</v>
      </c>
      <c r="AX28" s="75" t="str" cm="1">
        <f t="array" aca="1" ref="AX28" ca="1">IF($B28="","",IF(ISBLANK(INDIRECT("R9.Web!D"&amp;SUM(18,38*14,9))),"",INDIRECT("R9.Web!D"&amp;SUM(18,38*14,9))))</f>
        <v>N/A</v>
      </c>
      <c r="AY28" s="75" t="str" cm="1">
        <f t="array" aca="1" ref="AY28" ca="1">IF($B28="","",IF(ISBLANK(INDIRECT("R9.Web!D"&amp;SUM(18,38*15,9))),"",INDIRECT("R9.Web!D"&amp;SUM(18,38*15,9))))</f>
        <v>Pasa</v>
      </c>
      <c r="AZ28" s="75" t="str" cm="1">
        <f t="array" aca="1" ref="AZ28" ca="1">IF($B28="","",IF(ISBLANK(INDIRECT("R9.Web!D"&amp;SUM(18,38*16,9))),"",INDIRECT("R9.Web!D"&amp;SUM(18,38*16,9))))</f>
        <v>Pasa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N/A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N/A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N/A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Pasa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Pasa</v>
      </c>
      <c r="CQ28" s="75" t="str" cm="1">
        <f t="array" aca="1" ref="CQ28" ca="1">IF($B28="","",IF(ISBLANK(INDIRECT("R12.ServiciosApoyo!D"&amp;SUM(18,38*3,9))),"",INDIRECT("R12.ServiciosApoyo!D"&amp;SUM(18,38*3,9))))</f>
        <v>Pasa</v>
      </c>
      <c r="CR28" s="75" t="str" cm="1">
        <f t="array" aca="1" ref="CR28" ca="1">IF($B28="","",IF(ISBLANK(INDIRECT("R12.ServiciosApoyo!D"&amp;SUM(18,38*4,9))),"",INDIRECT("R12.ServiciosApoyo!D"&amp;SUM(18,38*4,9))))</f>
        <v>Falla</v>
      </c>
      <c r="CU28" s="76"/>
    </row>
    <row r="29" spans="2:100" ht="20.5">
      <c r="B29" s="39" t="str" cm="1">
        <f t="array" ref="B29">IFERROR(INDEX('03.Muestra'!$B$8:$B$42,SMALL(IF("Página Web"='03.Muestra'!$D$8:$D$42,ROW('03.Muestra'!$B$8:$B$42)-MIN(ROW('03.Muestra'!$D$8:$D$42))+1,""),ROW()-19)),"")</f>
        <v/>
      </c>
      <c r="C29" s="73" t="str" cm="1">
        <f t="array" ref="C29">IFERROR(INDEX('03.Muestra'!$C$8:$C$42,SMALL(IF("Página Web"='03.Muestra'!$D$8:$D$42,ROW('03.Muestra'!$C$8:$C$42)-MIN(ROW('03.Muestra'!$D$8:$D$42))+1,""),ROW()-19)),"")</f>
        <v/>
      </c>
      <c r="D29" s="74" t="str" cm="1">
        <f t="array" ref="D29">IFERROR(INDEX('03.Muestra'!$F$8:$F$42,SMALL(IF("Página Web"='03.Muestra'!$D$8:$D$42,ROW('03.Muestra'!$F$8:$F$42)-MIN(ROW('03.Muestra'!$D$8:$D$42))+1,""),ROW()-19)),"")</f>
        <v/>
      </c>
      <c r="E29" s="75" t="str" cm="1">
        <f t="array" aca="1" ref="E29" ca="1">IF($B29="","",IF(ISBLANK(INDIRECT("R5.Genéricos!D"&amp;SUM(18,38*0,10))),"",INDIRECT("R5.Genéricos!D"&amp;SUM(18,38*0,10))))</f>
        <v/>
      </c>
      <c r="F29" s="75" t="str" cm="1">
        <f t="array" aca="1" ref="F29" ca="1">IF($B29="","",IF(ISBLANK(INDIRECT("R5.Genéricos!D"&amp;SUM(18,38*1,10))),"",INDIRECT("R5.Genéricos!D"&amp;SUM(18,38*1,10))))</f>
        <v/>
      </c>
      <c r="G29" s="75" t="str" cm="1">
        <f t="array" aca="1" ref="G29" ca="1">IF($B29="","",IF(ISBLANK(INDIRECT("R5.Genéricos!D"&amp;SUM(18,38*2,10))),"",INDIRECT("R5.Genéricos!D"&amp;SUM(18,38*2,10))))</f>
        <v/>
      </c>
      <c r="H29" s="75" t="str" cm="1">
        <f t="array" aca="1" ref="H29" ca="1">IF($B29="","",IF(ISBLANK(INDIRECT("R6.Voz!D"&amp;SUM(18,38*0,10))),"",INDIRECT("R6.Voz!D"&amp;SUM(18,38*0,10))))</f>
        <v/>
      </c>
      <c r="I29" s="75" t="str" cm="1">
        <f t="array" aca="1" ref="I29" ca="1">IF($B29="","",IF(ISBLANK(INDIRECT("R6.Voz!D"&amp;SUM(18,38*1,10))),"",INDIRECT("R6.Voz!D"&amp;SUM(18,38*1,10))))</f>
        <v/>
      </c>
      <c r="J29" s="75" t="str" cm="1">
        <f t="array" aca="1" ref="J29" ca="1">IF($B29="","",IF(ISBLANK(INDIRECT("R6.Voz!D"&amp;SUM(18,38*2,10))),"",INDIRECT("R6.Voz!D"&amp;SUM(18,38*2,10))))</f>
        <v/>
      </c>
      <c r="K29" s="75" t="str" cm="1">
        <f t="array" aca="1" ref="K29" ca="1">IF($B29="","",IF(ISBLANK(INDIRECT("R6.Voz!D"&amp;SUM(18,38*3,10))),"",INDIRECT("R6.Voz!D"&amp;SUM(18,38*3,10))))</f>
        <v/>
      </c>
      <c r="L29" s="75" t="str" cm="1">
        <f t="array" aca="1" ref="L29" ca="1">IF($B29="","",IF(ISBLANK(INDIRECT("R6.Voz!D"&amp;SUM(18,38*4,10))),"",INDIRECT("R6.Voz!D"&amp;SUM(18,38*4,10))))</f>
        <v/>
      </c>
      <c r="M29" s="75" t="str" cm="1">
        <f t="array" aca="1" ref="M29" ca="1">IF($B29="","",IF(ISBLANK(INDIRECT("R6.Voz!D"&amp;SUM(18,38*5,10))),"",INDIRECT("R6.Voz!D"&amp;SUM(18,38*5,10))))</f>
        <v/>
      </c>
      <c r="N29" s="75" t="str" cm="1">
        <f t="array" aca="1" ref="N29" ca="1">IF($B29="","",IF(ISBLANK(INDIRECT("R6.Voz!D"&amp;SUM(18,38*6,10))),"",INDIRECT("R6.Voz!D"&amp;SUM(18,38*6,10))))</f>
        <v/>
      </c>
      <c r="O29" s="75" t="str" cm="1">
        <f t="array" aca="1" ref="O29" ca="1">IF($B29="","",IF(ISBLANK(INDIRECT("R6.Voz!D"&amp;SUM(18,38*7,10))),"",INDIRECT("R6.Voz!D"&amp;SUM(18,38*7,10))))</f>
        <v/>
      </c>
      <c r="P29" s="75" t="str" cm="1">
        <f t="array" aca="1" ref="P29" ca="1">IF($B29="","",IF(ISBLANK(INDIRECT("R6.Voz!D"&amp;SUM(18,38*8,10))),"",INDIRECT("R6.Voz!D"&amp;SUM(18,38*8,10))))</f>
        <v/>
      </c>
      <c r="Q29" s="75" t="str" cm="1">
        <f t="array" aca="1" ref="Q29" ca="1">IF($B29="","",IF(ISBLANK(INDIRECT("R6.Voz!D"&amp;SUM(18,38*9,10))),"",INDIRECT("R6.Voz!D"&amp;SUM(18,38*9,10))))</f>
        <v/>
      </c>
      <c r="R29" s="75" t="str" cm="1">
        <f t="array" aca="1" ref="R29" ca="1">IF($B29="","",IF(ISBLANK(INDIRECT("R6.Voz!D"&amp;SUM(18,38*10,10))),"",INDIRECT("R6.Voz!D"&amp;SUM(18,38*10,10))))</f>
        <v/>
      </c>
      <c r="S29" s="75" t="str" cm="1">
        <f t="array" aca="1" ref="S29" ca="1">IF($B29="","",IF(ISBLANK(INDIRECT("R6.Voz!D"&amp;SUM(18,38*11,10))),"",INDIRECT("R6.Voz!D"&amp;SUM(18,38*11,10))))</f>
        <v/>
      </c>
      <c r="T29" s="75" t="str" cm="1">
        <f t="array" aca="1" ref="T29" ca="1">IF($B29="","",IF(ISBLANK(INDIRECT("R6.Voz!D"&amp;SUM(18,38*12,10))),"",INDIRECT("R6.Voz!D"&amp;SUM(18,38*12,10))))</f>
        <v/>
      </c>
      <c r="U29" s="75" t="str" cm="1">
        <f t="array" aca="1" ref="U29" ca="1">IF($B29="","",IF(ISBLANK(INDIRECT("R6.Voz!D"&amp;SUM(18,38*13,10))),"",INDIRECT("R6.Voz!D"&amp;SUM(18,38*13,10))))</f>
        <v/>
      </c>
      <c r="V29" s="75" t="str" cm="1">
        <f t="array" aca="1" ref="V29" ca="1">IF($B29="","",IF(ISBLANK(INDIRECT("R6.Voz!D"&amp;SUM(18,38*14,10))),"",INDIRECT("R6.Voz!D"&amp;SUM(18,38*14,10))))</f>
        <v/>
      </c>
      <c r="W29" s="75" t="str" cm="1">
        <f t="array" aca="1" ref="W29" ca="1">IF($B29="","",IF(ISBLANK(INDIRECT("R6.Voz!D"&amp;SUM(18,38*15,10))),"",INDIRECT("R6.Voz!D"&amp;SUM(18,38*15,10))))</f>
        <v/>
      </c>
      <c r="X29" s="75" t="str" cm="1">
        <f t="array" aca="1" ref="X29" ca="1">IF($B29="","",IF(ISBLANK(INDIRECT("R6.Voz!D"&amp;SUM(18,38*16,10))),"",INDIRECT("R6.Voz!D"&amp;SUM(18,38*16,10))))</f>
        <v/>
      </c>
      <c r="Y29" s="75" t="str" cm="1">
        <f t="array" aca="1" ref="Y29" ca="1">IF($B29="","",IF(ISBLANK(INDIRECT("R6.Voz!D"&amp;SUM(18,38*17,10))),"",INDIRECT("R6.Voz!D"&amp;SUM(18,38*17,10))))</f>
        <v/>
      </c>
      <c r="Z29" s="75" t="str" cm="1">
        <f t="array" aca="1" ref="Z29" ca="1">IF($B29="","",IF(ISBLANK(INDIRECT("R6.Voz!D"&amp;SUM(18,38*18,10))),"",INDIRECT("R6.Voz!D"&amp;SUM(18,38*18,10))))</f>
        <v/>
      </c>
      <c r="AA29" s="75" t="str" cm="1">
        <f t="array" aca="1" ref="AA29" ca="1">IF($B29="","",IF(ISBLANK(INDIRECT("R7.Video!D"&amp;SUM(18,38*0,10))),"",INDIRECT("R7.Video!D"&amp;SUM(18,38*0,10))))</f>
        <v/>
      </c>
      <c r="AB29" s="75" t="str" cm="1">
        <f t="array" aca="1" ref="AB29" ca="1">IF($B29="","",IF(ISBLANK(INDIRECT("R7.Video!D"&amp;SUM(18,38*1,10))),"",INDIRECT("R7.Video!D"&amp;SUM(18,38*1,10))))</f>
        <v/>
      </c>
      <c r="AC29" s="75" t="str" cm="1">
        <f t="array" aca="1" ref="AC29" ca="1">IF($B29="","",IF(ISBLANK(INDIRECT("R7.Video!D"&amp;SUM(18,38*2,10))),"",INDIRECT("R7.Video!D"&amp;SUM(18,38*2,10))))</f>
        <v/>
      </c>
      <c r="AD29" s="75" t="str" cm="1">
        <f t="array" aca="1" ref="AD29" ca="1">IF($B29="","",IF(ISBLANK(INDIRECT("R7.Video!D"&amp;SUM(18,38*3,10))),"",INDIRECT("R7.Video!D"&amp;SUM(18,38*3,10))))</f>
        <v/>
      </c>
      <c r="AE29" s="75" t="str" cm="1">
        <f t="array" aca="1" ref="AE29" ca="1">IF($B29="","",IF(ISBLANK(INDIRECT("R7.Video!D"&amp;SUM(18,38*4,10))),"",INDIRECT("R7.Video!D"&amp;SUM(18,38*4,10))))</f>
        <v/>
      </c>
      <c r="AF29" s="75" t="str" cm="1">
        <f t="array" aca="1" ref="AF29" ca="1">IF($B29="","",IF(ISBLANK(INDIRECT("R7.Video!D"&amp;SUM(18,38*5,10))),"",INDIRECT("R7.Video!D"&amp;SUM(18,38*5,10))))</f>
        <v/>
      </c>
      <c r="AG29" s="75" t="str" cm="1">
        <f t="array" aca="1" ref="AG29" ca="1">IF($B29="","",IF(ISBLANK(INDIRECT("R7.Video!D"&amp;SUM(18,38*6,10))),"",INDIRECT("R7.Video!D"&amp;SUM(18,38*6,10))))</f>
        <v/>
      </c>
      <c r="AH29" s="75" t="str" cm="1">
        <f t="array" aca="1" ref="AH29" ca="1">IF($B29="","",IF(ISBLANK(INDIRECT("R7.Video!D"&amp;SUM(18,38*7,10))),"",INDIRECT("R7.Video!D"&amp;SUM(18,38*7,10))))</f>
        <v/>
      </c>
      <c r="AI29" s="75" t="str" cm="1">
        <f t="array" aca="1" ref="AI29" ca="1">IF($B29="","",IF(ISBLANK(INDIRECT("R7.Video!D"&amp;SUM(18,38*8,10))),"",INDIRECT("R7.Video!D"&amp;SUM(18,38*8,10))))</f>
        <v/>
      </c>
      <c r="AJ29" s="75" t="str" cm="1">
        <f t="array" aca="1" ref="AJ29" ca="1">IF($B29="","",IF(ISBLANK(INDIRECT("R9.Web!D"&amp;SUM(18,38*0,10))),"",INDIRECT("R9.Web!D"&amp;SUM(18,38*0,10))))</f>
        <v/>
      </c>
      <c r="AK29" s="75" t="str" cm="1">
        <f t="array" aca="1" ref="AK29" ca="1">IF($B29="","",IF(ISBLANK(INDIRECT("R9.Web!D"&amp;SUM(18,38*1,10))),"",INDIRECT("R9.Web!D"&amp;SUM(18,38*1,10))))</f>
        <v/>
      </c>
      <c r="AL29" s="75" t="str" cm="1">
        <f t="array" aca="1" ref="AL29" ca="1">IF($B29="","",IF(ISBLANK(INDIRECT("R9.Web!D"&amp;SUM(18,38*2,10))),"",INDIRECT("R9.Web!D"&amp;SUM(18,38*2,10))))</f>
        <v/>
      </c>
      <c r="AM29" s="75" t="str" cm="1">
        <f t="array" aca="1" ref="AM29" ca="1">IF($B29="","",IF(ISBLANK(INDIRECT("R9.Web!D"&amp;SUM(18,38*3,10))),"",INDIRECT("R9.Web!D"&amp;SUM(18,38*3,10))))</f>
        <v/>
      </c>
      <c r="AN29" s="75" t="str" cm="1">
        <f t="array" aca="1" ref="AN29" ca="1">IF($B29="","",IF(ISBLANK(INDIRECT("R9.Web!D"&amp;SUM(18,38*4,10))),"",INDIRECT("R9.Web!D"&amp;SUM(18,38*4,10))))</f>
        <v/>
      </c>
      <c r="AO29" s="75" t="str" cm="1">
        <f t="array" aca="1" ref="AO29" ca="1">IF($B29="","",IF(ISBLANK(INDIRECT("R9.Web!D"&amp;SUM(18,38*5,10))),"",INDIRECT("R9.Web!D"&amp;SUM(18,38*5,10))))</f>
        <v/>
      </c>
      <c r="AP29" s="75" t="str" cm="1">
        <f t="array" aca="1" ref="AP29" ca="1">IF($B29="","",IF(ISBLANK(INDIRECT("R9.Web!D"&amp;SUM(18,38*6,10))),"",INDIRECT("R9.Web!D"&amp;SUM(18,38*6,10))))</f>
        <v/>
      </c>
      <c r="AQ29" s="75" t="str" cm="1">
        <f t="array" aca="1" ref="AQ29" ca="1">IF($B29="","",IF(ISBLANK(INDIRECT("R9.Web!D"&amp;SUM(18,38*7,10))),"",INDIRECT("R9.Web!D"&amp;SUM(18,38*7,10))))</f>
        <v/>
      </c>
      <c r="AR29" s="75" t="str" cm="1">
        <f t="array" aca="1" ref="AR29" ca="1">IF($B29="","",IF(ISBLANK(INDIRECT("R9.Web!D"&amp;SUM(18,38*8,10))),"",INDIRECT("R9.Web!D"&amp;SUM(18,38*8,10))))</f>
        <v/>
      </c>
      <c r="AS29" s="75" t="str" cm="1">
        <f t="array" aca="1" ref="AS29" ca="1">IF($B29="","",IF(ISBLANK(INDIRECT("R9.Web!D"&amp;SUM(18,38*9,10))),"",INDIRECT("R9.Web!D"&amp;SUM(18,38*9,10))))</f>
        <v/>
      </c>
      <c r="AT29" s="75" t="str" cm="1">
        <f t="array" aca="1" ref="AT29" ca="1">IF($B29="","",IF(ISBLANK(INDIRECT("R9.Web!D"&amp;SUM(18,38*10,10))),"",INDIRECT("R9.Web!D"&amp;SUM(18,38*10,10))))</f>
        <v/>
      </c>
      <c r="AU29" s="75" t="str" cm="1">
        <f t="array" aca="1" ref="AU29" ca="1">IF($B29="","",IF(ISBLANK(INDIRECT("R9.Web!D"&amp;SUM(18,38*11,10))),"",INDIRECT("R9.Web!D"&amp;SUM(18,38*11,10))))</f>
        <v/>
      </c>
      <c r="AV29" s="75" t="str" cm="1">
        <f t="array" aca="1" ref="AV29" ca="1">IF($B29="","",IF(ISBLANK(INDIRECT("R9.Web!D"&amp;SUM(18,38*12,10))),"",INDIRECT("R9.Web!D"&amp;SUM(18,38*12,10))))</f>
        <v/>
      </c>
      <c r="AW29" s="75" t="str" cm="1">
        <f t="array" aca="1" ref="AW29" ca="1">IF($B29="","",IF(ISBLANK(INDIRECT("R9.Web!D"&amp;SUM(18,38*13,10))),"",INDIRECT("R9.Web!D"&amp;SUM(18,38*13,10))))</f>
        <v/>
      </c>
      <c r="AX29" s="75" t="str" cm="1">
        <f t="array" aca="1" ref="AX29" ca="1">IF($B29="","",IF(ISBLANK(INDIRECT("R9.Web!D"&amp;SUM(18,38*14,10))),"",INDIRECT("R9.Web!D"&amp;SUM(18,38*14,10))))</f>
        <v/>
      </c>
      <c r="AY29" s="75" t="str" cm="1">
        <f t="array" aca="1" ref="AY29" ca="1">IF($B29="","",IF(ISBLANK(INDIRECT("R9.Web!D"&amp;SUM(18,38*15,10))),"",INDIRECT("R9.Web!D"&amp;SUM(18,38*15,10))))</f>
        <v/>
      </c>
      <c r="AZ29" s="75" t="str" cm="1">
        <f t="array" aca="1" ref="AZ29" ca="1">IF($B29="","",IF(ISBLANK(INDIRECT("R9.Web!D"&amp;SUM(18,38*16,10))),"",INDIRECT("R9.Web!D"&amp;SUM(18,38*16,10))))</f>
        <v/>
      </c>
      <c r="BA29" s="75" t="str" cm="1">
        <f t="array" aca="1" ref="BA29" ca="1">IF($B29="","",IF(ISBLANK(INDIRECT("R9.Web!D"&amp;SUM(18,38*17,10))),"",INDIRECT("R9.Web!D"&amp;SUM(18,38*17,10))))</f>
        <v/>
      </c>
      <c r="BB29" s="75" t="str" cm="1">
        <f t="array" aca="1" ref="BB29" ca="1">IF($B29="","",IF(ISBLANK(INDIRECT("R9.Web!D"&amp;SUM(18,38*18,10))),"",INDIRECT("R9.Web!D"&amp;SUM(18,38*18,10))))</f>
        <v/>
      </c>
      <c r="BC29" s="75" t="str" cm="1">
        <f t="array" aca="1" ref="BC29" ca="1">IF($B29="","",IF(ISBLANK(INDIRECT("R9.Web!D"&amp;SUM(18,38*19,10))),"",INDIRECT("R9.Web!D"&amp;SUM(18,38*19,10))))</f>
        <v/>
      </c>
      <c r="BD29" s="75" t="str" cm="1">
        <f t="array" aca="1" ref="BD29" ca="1">IF($B29="","",IF(ISBLANK(INDIRECT("R9.Web!D"&amp;SUM(18,38*20,10))),"",INDIRECT("R9.Web!D"&amp;SUM(18,38*20,10))))</f>
        <v/>
      </c>
      <c r="BE29" s="75" t="str" cm="1">
        <f t="array" aca="1" ref="BE29" ca="1">IF($B29="","",IF(ISBLANK(INDIRECT("R9.Web!D"&amp;SUM(18,38*21,10))),"",INDIRECT("R9.Web!D"&amp;SUM(18,38*21,10))))</f>
        <v/>
      </c>
      <c r="BF29" s="75" t="str" cm="1">
        <f t="array" aca="1" ref="BF29" ca="1">IF($B29="","",IF(ISBLANK(INDIRECT("R9.Web!D"&amp;SUM(18,38*22,10))),"",INDIRECT("R9.Web!D"&amp;SUM(18,38*22,10))))</f>
        <v/>
      </c>
      <c r="BG29" s="75" t="str" cm="1">
        <f t="array" aca="1" ref="BG29" ca="1">IF($B29="","",IF(ISBLANK(INDIRECT("R9.Web!D"&amp;SUM(18,38*23,10))),"",INDIRECT("R9.Web!D"&amp;SUM(18,38*23,10))))</f>
        <v/>
      </c>
      <c r="BH29" s="75" t="str" cm="1">
        <f t="array" aca="1" ref="BH29" ca="1">IF($B29="","",IF(ISBLANK(INDIRECT("R9.Web!D"&amp;SUM(18,38*24,10))),"",INDIRECT("R9.Web!D"&amp;SUM(18,38*24,10))))</f>
        <v/>
      </c>
      <c r="BI29" s="75" t="str" cm="1">
        <f t="array" aca="1" ref="BI29" ca="1">IF($B29="","",IF(ISBLANK(INDIRECT("R9.Web!D"&amp;SUM(18,38*25,10))),"",INDIRECT("R9.Web!D"&amp;SUM(18,38*25,10))))</f>
        <v/>
      </c>
      <c r="BJ29" s="75" t="str" cm="1">
        <f t="array" aca="1" ref="BJ29" ca="1">IF($B29="","",IF(ISBLANK(INDIRECT("R9.Web!D"&amp;SUM(18,38*26,10))),"",INDIRECT("R9.Web!D"&amp;SUM(18,38*26,10))))</f>
        <v/>
      </c>
      <c r="BK29" s="75" t="str" cm="1">
        <f t="array" aca="1" ref="BK29" ca="1">IF($B29="","",IF(ISBLANK(INDIRECT("R9.Web!D"&amp;SUM(18,38*27,10))),"",INDIRECT("R9.Web!D"&amp;SUM(18,38*27,10))))</f>
        <v/>
      </c>
      <c r="BL29" s="75" t="str" cm="1">
        <f t="array" aca="1" ref="BL29" ca="1">IF($B29="","",IF(ISBLANK(INDIRECT("R9.Web!D"&amp;SUM(18,38*28,10))),"",INDIRECT("R9.Web!D"&amp;SUM(18,38*28,10))))</f>
        <v/>
      </c>
      <c r="BM29" s="75" t="str" cm="1">
        <f t="array" aca="1" ref="BM29" ca="1">IF($B29="","",IF(ISBLANK(INDIRECT("R9.Web!D"&amp;SUM(18,38*29,10))),"",INDIRECT("R9.Web!D"&amp;SUM(18,38*29,10))))</f>
        <v/>
      </c>
      <c r="BN29" s="75" t="str" cm="1">
        <f t="array" aca="1" ref="BN29" ca="1">IF($B29="","",IF(ISBLANK(INDIRECT("R9.Web!D"&amp;SUM(18,38*30,10))),"",INDIRECT("R9.Web!D"&amp;SUM(18,38*30,10))))</f>
        <v/>
      </c>
      <c r="BO29" s="75" t="str" cm="1">
        <f t="array" aca="1" ref="BO29" ca="1">IF($B29="","",IF(ISBLANK(INDIRECT("R9.Web!D"&amp;SUM(18,38*31,10))),"",INDIRECT("R9.Web!D"&amp;SUM(18,38*31,10))))</f>
        <v/>
      </c>
      <c r="BP29" s="75" t="str" cm="1">
        <f t="array" aca="1" ref="BP29" ca="1">IF($B29="","",IF(ISBLANK(INDIRECT("R9.Web!D"&amp;SUM(18,38*32,10))),"",INDIRECT("R9.Web!D"&amp;SUM(18,38*32,10))))</f>
        <v/>
      </c>
      <c r="BQ29" s="75" t="str" cm="1">
        <f t="array" aca="1" ref="BQ29" ca="1">IF($B29="","",IF(ISBLANK(INDIRECT("R9.Web!D"&amp;SUM(18,38*33,10))),"",INDIRECT("R9.Web!D"&amp;SUM(18,38*33,10))))</f>
        <v/>
      </c>
      <c r="BR29" s="75" t="str" cm="1">
        <f t="array" aca="1" ref="BR29" ca="1">IF($B29="","",IF(ISBLANK(INDIRECT("R9.Web!D"&amp;SUM(18,38*34,10))),"",INDIRECT("R9.Web!D"&amp;SUM(18,38*34,10))))</f>
        <v/>
      </c>
      <c r="BS29" s="75" t="str" cm="1">
        <f t="array" aca="1" ref="BS29" ca="1">IF($B29="","",IF(ISBLANK(INDIRECT("R9.Web!D"&amp;SUM(18,38*35,10))),"",INDIRECT("R9.Web!D"&amp;SUM(18,38*35,10))))</f>
        <v/>
      </c>
      <c r="BT29" s="75" t="str" cm="1">
        <f t="array" aca="1" ref="BT29" ca="1">IF($B29="","",IF(ISBLANK(INDIRECT("R9.Web!D"&amp;SUM(18,38*36,10))),"",INDIRECT("R9.Web!D"&amp;SUM(18,38*36,10))))</f>
        <v/>
      </c>
      <c r="BU29" s="75" t="str" cm="1">
        <f t="array" aca="1" ref="BU29" ca="1">IF($B29="","",IF(ISBLANK(INDIRECT("R9.Web!D"&amp;SUM(18,38*37,10))),"",INDIRECT("R9.Web!D"&amp;SUM(18,38*37,10))))</f>
        <v/>
      </c>
      <c r="BV29" s="75" t="str" cm="1">
        <f t="array" aca="1" ref="BV29" ca="1">IF($B29="","",IF(ISBLANK(INDIRECT("R9.Web!D"&amp;SUM(18,38*38,10))),"",INDIRECT("R9.Web!D"&amp;SUM(18,38*38,10))))</f>
        <v/>
      </c>
      <c r="BW29" s="75" t="str" cm="1">
        <f t="array" aca="1" ref="BW29" ca="1">IF($B29="","",IF(ISBLANK(INDIRECT("R9.Web!D"&amp;SUM(18,38*39,10))),"",INDIRECT("R9.Web!D"&amp;SUM(18,38*39,10))))</f>
        <v/>
      </c>
      <c r="BX29" s="75" t="str" cm="1">
        <f t="array" aca="1" ref="BX29" ca="1">IF($B29="","",IF(ISBLANK(INDIRECT("R9.Web!D"&amp;SUM(18,38*40,10))),"",INDIRECT("R9.Web!D"&amp;SUM(18,38*40,10))))</f>
        <v/>
      </c>
      <c r="BY29" s="75" t="str" cm="1">
        <f t="array" aca="1" ref="BY29" ca="1">IF($B29="","",IF(ISBLANK(INDIRECT("R9.Web!D"&amp;SUM(18,38*41,10))),"",INDIRECT("R9.Web!D"&amp;SUM(18,38*41,10))))</f>
        <v/>
      </c>
      <c r="BZ29" s="75" t="str" cm="1">
        <f t="array" aca="1" ref="BZ29" ca="1">IF($B29="","",IF(ISBLANK(INDIRECT("R9.Web!D"&amp;SUM(18,38*42,10))),"",INDIRECT("R9.Web!D"&amp;SUM(18,38*42,10))))</f>
        <v/>
      </c>
      <c r="CA29" s="75" t="str" cm="1">
        <f t="array" aca="1" ref="CA29" ca="1">IF($B29="","",IF(ISBLANK(INDIRECT("R9.Web!D"&amp;SUM(18,38*43,10))),"",INDIRECT("R9.Web!D"&amp;SUM(18,38*43,10))))</f>
        <v/>
      </c>
      <c r="CB29" s="75" t="str" cm="1">
        <f t="array" aca="1" ref="CB29" ca="1">IF($B29="","",IF(ISBLANK(INDIRECT("R9.Web!D"&amp;SUM(18,38*44,10))),"",INDIRECT("R9.Web!D"&amp;SUM(18,38*44,10))))</f>
        <v/>
      </c>
      <c r="CC29" s="75" t="str" cm="1">
        <f t="array" aca="1" ref="CC29" ca="1">IF($B29="","",IF(ISBLANK(INDIRECT("R9.Web!D"&amp;SUM(18,38*45,10))),"",INDIRECT("R9.Web!D"&amp;SUM(18,38*45,10))))</f>
        <v/>
      </c>
      <c r="CD29" s="75" t="str" cm="1">
        <f t="array" aca="1" ref="CD29" ca="1">IF($B29="","",IF(ISBLANK(INDIRECT("R9.Web!D"&amp;SUM(18,38*46,10))),"",INDIRECT("R9.Web!D"&amp;SUM(18,38*46,10))))</f>
        <v/>
      </c>
      <c r="CE29" s="75" t="str" cm="1">
        <f t="array" aca="1" ref="CE29" ca="1">IF($B29="","",IF(ISBLANK(INDIRECT("R9.Web!D"&amp;SUM(18,38*47,10))),"",INDIRECT("R9.Web!D"&amp;SUM(18,38*47,10))))</f>
        <v/>
      </c>
      <c r="CF29" s="75" t="str" cm="1">
        <f t="array" aca="1" ref="CF29" ca="1">IF($B29="","",IF(ISBLANK(INDIRECT("R9.Web!D"&amp;SUM(18,38*48,10))),"",INDIRECT("R9.Web!D"&amp;SUM(18,38*48,10))))</f>
        <v/>
      </c>
      <c r="CG29" s="75" t="str" cm="1">
        <f t="array" aca="1" ref="CG29" ca="1">IF($B29="","",IF(ISBLANK(INDIRECT("R9.Web!D"&amp;SUM(18,38*49,10))),"",INDIRECT("R9.Web!D"&amp;SUM(18,38*49,10))))</f>
        <v/>
      </c>
      <c r="CH29" s="75" t="str" cm="1">
        <f t="array" aca="1" ref="CH29" ca="1">IF($B29="","",IF(ISBLANK(INDIRECT("R11.Software!D"&amp;SUM(18,38*0,10))),"",INDIRECT("R11.Software!D"&amp;SUM(18,38*0,10))))</f>
        <v/>
      </c>
      <c r="CI29" s="75" t="str" cm="1">
        <f t="array" aca="1" ref="CI29" ca="1">IF($B29="","",IF(ISBLANK(INDIRECT("R11.Software!D"&amp;SUM(18,38*1,10))),"",INDIRECT("R11.Software!D"&amp;SUM(18,38*1,10))))</f>
        <v/>
      </c>
      <c r="CJ29" s="75" t="str" cm="1">
        <f t="array" aca="1" ref="CJ29" ca="1">IF($B29="","",IF(ISBLANK(INDIRECT("R11.Software!D"&amp;SUM(18,38*2,10))),"",INDIRECT("R11.Software!D"&amp;SUM(18,38*2,10))))</f>
        <v/>
      </c>
      <c r="CK29" s="75" t="str" cm="1">
        <f t="array" aca="1" ref="CK29" ca="1">IF($B29="","",IF(ISBLANK(INDIRECT("R11.Software!D"&amp;SUM(18,38*3,10))),"",INDIRECT("R11.Software!D"&amp;SUM(18,38*3,10))))</f>
        <v/>
      </c>
      <c r="CL29" s="75" t="str" cm="1">
        <f t="array" aca="1" ref="CL29" ca="1">IF($B29="","",IF(ISBLANK(INDIRECT("R11.Software!D"&amp;SUM(18,38*4,10))),"",INDIRECT("R11.Software!D"&amp;SUM(18,38*4,10))))</f>
        <v/>
      </c>
      <c r="CM29" s="75" t="str" cm="1">
        <f t="array" aca="1" ref="CM29" ca="1">IF($B29="","",IF(ISBLANK(INDIRECT("R11.Software!D"&amp;SUM(18,38*5,10))),"",INDIRECT("R11.Software!D"&amp;SUM(18,38*5,10))))</f>
        <v/>
      </c>
      <c r="CN29" s="75" t="str" cm="1">
        <f t="array" aca="1" ref="CN29" ca="1">IF($B29="","",IF(ISBLANK(INDIRECT("R12.ServiciosApoyo!D"&amp;SUM(18,38*0,10))),"",INDIRECT("R12.ServiciosApoyo!D"&amp;SUM(18,38*0,10))))</f>
        <v/>
      </c>
      <c r="CO29" s="75" t="str" cm="1">
        <f t="array" aca="1" ref="CO29" ca="1">IF($B29="","",IF(ISBLANK(INDIRECT("R12.ServiciosApoyo!D"&amp;SUM(18,38*1,10))),"",INDIRECT("R12.ServiciosApoyo!D"&amp;SUM(18,38*1,10))))</f>
        <v/>
      </c>
      <c r="CP29" s="75" t="str" cm="1">
        <f t="array" aca="1" ref="CP29" ca="1">IF($B29="","",IF(ISBLANK(INDIRECT("R12.ServiciosApoyo!D"&amp;SUM(18,38*2,10))),"",INDIRECT("R12.ServiciosApoyo!D"&amp;SUM(18,38*2,10))))</f>
        <v/>
      </c>
      <c r="CQ29" s="75" t="str" cm="1">
        <f t="array" aca="1" ref="CQ29" ca="1">IF($B29="","",IF(ISBLANK(INDIRECT("R12.ServiciosApoyo!D"&amp;SUM(18,38*3,10))),"",INDIRECT("R12.ServiciosApoyo!D"&amp;SUM(18,38*3,10))))</f>
        <v/>
      </c>
      <c r="CR29" s="75" t="str" cm="1">
        <f t="array" aca="1" ref="CR29" ca="1">IF($B29="","",IF(ISBLANK(INDIRECT("R12.ServiciosApoyo!D"&amp;SUM(18,38*4,10))),"",INDIRECT("R12.ServiciosApoyo!D"&amp;SUM(18,38*4,10))))</f>
        <v/>
      </c>
      <c r="CU29" s="76"/>
    </row>
    <row r="30" spans="2:100" ht="20.5">
      <c r="B30" s="39" t="str" cm="1">
        <f t="array" ref="B30">IFERROR(INDEX('03.Muestra'!$B$8:$B$42,SMALL(IF("Página Web"='03.Muestra'!$D$8:$D$42,ROW('03.Muestra'!$B$8:$B$42)-MIN(ROW('03.Muestra'!$D$8:$D$42))+1,""),ROW()-19)),"")</f>
        <v/>
      </c>
      <c r="C30" s="73" t="str" cm="1">
        <f t="array" ref="C30">IFERROR(INDEX('03.Muestra'!$C$8:$C$42,SMALL(IF("Página Web"='03.Muestra'!$D$8:$D$42,ROW('03.Muestra'!$C$8:$C$42)-MIN(ROW('03.Muestra'!$D$8:$D$42))+1,""),ROW()-19)),"")</f>
        <v/>
      </c>
      <c r="D30" s="74" t="str" cm="1">
        <f t="array" ref="D30">IFERROR(INDEX('03.Muestra'!$F$8:$F$42,SMALL(IF("Página Web"='03.Muestra'!$D$8:$D$42,ROW('03.Muestra'!$F$8:$F$42)-MIN(ROW('03.Muestra'!$D$8:$D$42))+1,""),ROW()-19)),"")</f>
        <v/>
      </c>
      <c r="E30" s="75" t="str" cm="1">
        <f t="array" aca="1" ref="E30" ca="1">IF($B30="","",IF(ISBLANK(INDIRECT("R5.Genéricos!D"&amp;SUM(18,38*0,11))),"",INDIRECT("R5.Genéricos!D"&amp;SUM(18,38*0,11))))</f>
        <v/>
      </c>
      <c r="F30" s="75" t="str" cm="1">
        <f t="array" aca="1" ref="F30" ca="1">IF($B30="","",IF(ISBLANK(INDIRECT("R5.Genéricos!D"&amp;SUM(18,38*1,11))),"",INDIRECT("R5.Genéricos!D"&amp;SUM(18,38*1,11))))</f>
        <v/>
      </c>
      <c r="G30" s="75" t="str" cm="1">
        <f t="array" aca="1" ref="G30" ca="1">IF($B30="","",IF(ISBLANK(INDIRECT("R5.Genéricos!D"&amp;SUM(18,38*2,11))),"",INDIRECT("R5.Genéricos!D"&amp;SUM(18,38*2,11))))</f>
        <v/>
      </c>
      <c r="H30" s="75" t="str" cm="1">
        <f t="array" aca="1" ref="H30" ca="1">IF($B30="","",IF(ISBLANK(INDIRECT("R6.Voz!D"&amp;SUM(18,38*0,11))),"",INDIRECT("R6.Voz!D"&amp;SUM(18,38*0,11))))</f>
        <v/>
      </c>
      <c r="I30" s="75" t="str" cm="1">
        <f t="array" aca="1" ref="I30" ca="1">IF($B30="","",IF(ISBLANK(INDIRECT("R6.Voz!D"&amp;SUM(18,38*1,11))),"",INDIRECT("R6.Voz!D"&amp;SUM(18,38*1,11))))</f>
        <v/>
      </c>
      <c r="J30" s="75" t="str" cm="1">
        <f t="array" aca="1" ref="J30" ca="1">IF($B30="","",IF(ISBLANK(INDIRECT("R6.Voz!D"&amp;SUM(18,38*2,11))),"",INDIRECT("R6.Voz!D"&amp;SUM(18,38*2,11))))</f>
        <v/>
      </c>
      <c r="K30" s="75" t="str" cm="1">
        <f t="array" aca="1" ref="K30" ca="1">IF($B30="","",IF(ISBLANK(INDIRECT("R6.Voz!D"&amp;SUM(18,38*3,11))),"",INDIRECT("R6.Voz!D"&amp;SUM(18,38*3,11))))</f>
        <v/>
      </c>
      <c r="L30" s="75" t="str" cm="1">
        <f t="array" aca="1" ref="L30" ca="1">IF($B30="","",IF(ISBLANK(INDIRECT("R6.Voz!D"&amp;SUM(18,38*4,11))),"",INDIRECT("R6.Voz!D"&amp;SUM(18,38*4,11))))</f>
        <v/>
      </c>
      <c r="M30" s="75" t="str" cm="1">
        <f t="array" aca="1" ref="M30" ca="1">IF($B30="","",IF(ISBLANK(INDIRECT("R6.Voz!D"&amp;SUM(18,38*5,11))),"",INDIRECT("R6.Voz!D"&amp;SUM(18,38*5,11))))</f>
        <v/>
      </c>
      <c r="N30" s="75" t="str" cm="1">
        <f t="array" aca="1" ref="N30" ca="1">IF($B30="","",IF(ISBLANK(INDIRECT("R6.Voz!D"&amp;SUM(18,38*6,11))),"",INDIRECT("R6.Voz!D"&amp;SUM(18,38*6,11))))</f>
        <v/>
      </c>
      <c r="O30" s="75" t="str" cm="1">
        <f t="array" aca="1" ref="O30" ca="1">IF($B30="","",IF(ISBLANK(INDIRECT("R6.Voz!D"&amp;SUM(18,38*7,11))),"",INDIRECT("R6.Voz!D"&amp;SUM(18,38*7,11))))</f>
        <v/>
      </c>
      <c r="P30" s="75" t="str" cm="1">
        <f t="array" aca="1" ref="P30" ca="1">IF($B30="","",IF(ISBLANK(INDIRECT("R6.Voz!D"&amp;SUM(18,38*8,11))),"",INDIRECT("R6.Voz!D"&amp;SUM(18,38*8,11))))</f>
        <v/>
      </c>
      <c r="Q30" s="75" t="str" cm="1">
        <f t="array" aca="1" ref="Q30" ca="1">IF($B30="","",IF(ISBLANK(INDIRECT("R6.Voz!D"&amp;SUM(18,38*9,11))),"",INDIRECT("R6.Voz!D"&amp;SUM(18,38*9,11))))</f>
        <v/>
      </c>
      <c r="R30" s="75" t="str" cm="1">
        <f t="array" aca="1" ref="R30" ca="1">IF($B30="","",IF(ISBLANK(INDIRECT("R6.Voz!D"&amp;SUM(18,38*10,11))),"",INDIRECT("R6.Voz!D"&amp;SUM(18,38*10,11))))</f>
        <v/>
      </c>
      <c r="S30" s="75" t="str" cm="1">
        <f t="array" aca="1" ref="S30" ca="1">IF($B30="","",IF(ISBLANK(INDIRECT("R6.Voz!D"&amp;SUM(18,38*11,11))),"",INDIRECT("R6.Voz!D"&amp;SUM(18,38*11,11))))</f>
        <v/>
      </c>
      <c r="T30" s="75" t="str" cm="1">
        <f t="array" aca="1" ref="T30" ca="1">IF($B30="","",IF(ISBLANK(INDIRECT("R6.Voz!D"&amp;SUM(18,38*12,11))),"",INDIRECT("R6.Voz!D"&amp;SUM(18,38*12,11))))</f>
        <v/>
      </c>
      <c r="U30" s="75" t="str" cm="1">
        <f t="array" aca="1" ref="U30" ca="1">IF($B30="","",IF(ISBLANK(INDIRECT("R6.Voz!D"&amp;SUM(18,38*13,11))),"",INDIRECT("R6.Voz!D"&amp;SUM(18,38*13,11))))</f>
        <v/>
      </c>
      <c r="V30" s="75" t="str" cm="1">
        <f t="array" aca="1" ref="V30" ca="1">IF($B30="","",IF(ISBLANK(INDIRECT("R6.Voz!D"&amp;SUM(18,38*14,11))),"",INDIRECT("R6.Voz!D"&amp;SUM(18,38*14,11))))</f>
        <v/>
      </c>
      <c r="W30" s="75" t="str" cm="1">
        <f t="array" aca="1" ref="W30" ca="1">IF($B30="","",IF(ISBLANK(INDIRECT("R6.Voz!D"&amp;SUM(18,38*15,11))),"",INDIRECT("R6.Voz!D"&amp;SUM(18,38*15,11))))</f>
        <v/>
      </c>
      <c r="X30" s="75" t="str" cm="1">
        <f t="array" aca="1" ref="X30" ca="1">IF($B30="","",IF(ISBLANK(INDIRECT("R6.Voz!D"&amp;SUM(18,38*16,11))),"",INDIRECT("R6.Voz!D"&amp;SUM(18,38*16,11))))</f>
        <v/>
      </c>
      <c r="Y30" s="75" t="str" cm="1">
        <f t="array" aca="1" ref="Y30" ca="1">IF($B30="","",IF(ISBLANK(INDIRECT("R6.Voz!D"&amp;SUM(18,38*17,11))),"",INDIRECT("R6.Voz!D"&amp;SUM(18,38*17,11))))</f>
        <v/>
      </c>
      <c r="Z30" s="75" t="str" cm="1">
        <f t="array" aca="1" ref="Z30" ca="1">IF($B30="","",IF(ISBLANK(INDIRECT("R6.Voz!D"&amp;SUM(18,38*18,11))),"",INDIRECT("R6.Voz!D"&amp;SUM(18,38*18,11))))</f>
        <v/>
      </c>
      <c r="AA30" s="75" t="str" cm="1">
        <f t="array" aca="1" ref="AA30" ca="1">IF($B30="","",IF(ISBLANK(INDIRECT("R7.Video!D"&amp;SUM(18,38*0,11))),"",INDIRECT("R7.Video!D"&amp;SUM(18,38*0,11))))</f>
        <v/>
      </c>
      <c r="AB30" s="75" t="str" cm="1">
        <f t="array" aca="1" ref="AB30" ca="1">IF($B30="","",IF(ISBLANK(INDIRECT("R7.Video!D"&amp;SUM(18,38*1,11))),"",INDIRECT("R7.Video!D"&amp;SUM(18,38*1,11))))</f>
        <v/>
      </c>
      <c r="AC30" s="75" t="str" cm="1">
        <f t="array" aca="1" ref="AC30" ca="1">IF($B30="","",IF(ISBLANK(INDIRECT("R7.Video!D"&amp;SUM(18,38*2,11))),"",INDIRECT("R7.Video!D"&amp;SUM(18,38*2,11))))</f>
        <v/>
      </c>
      <c r="AD30" s="75" t="str" cm="1">
        <f t="array" aca="1" ref="AD30" ca="1">IF($B30="","",IF(ISBLANK(INDIRECT("R7.Video!D"&amp;SUM(18,38*3,11))),"",INDIRECT("R7.Video!D"&amp;SUM(18,38*3,11))))</f>
        <v/>
      </c>
      <c r="AE30" s="75" t="str" cm="1">
        <f t="array" aca="1" ref="AE30" ca="1">IF($B30="","",IF(ISBLANK(INDIRECT("R7.Video!D"&amp;SUM(18,38*4,11))),"",INDIRECT("R7.Video!D"&amp;SUM(18,38*4,11))))</f>
        <v/>
      </c>
      <c r="AF30" s="75" t="str" cm="1">
        <f t="array" aca="1" ref="AF30" ca="1">IF($B30="","",IF(ISBLANK(INDIRECT("R7.Video!D"&amp;SUM(18,38*5,11))),"",INDIRECT("R7.Video!D"&amp;SUM(18,38*5,11))))</f>
        <v/>
      </c>
      <c r="AG30" s="75" t="str" cm="1">
        <f t="array" aca="1" ref="AG30" ca="1">IF($B30="","",IF(ISBLANK(INDIRECT("R7.Video!D"&amp;SUM(18,38*6,11))),"",INDIRECT("R7.Video!D"&amp;SUM(18,38*6,11))))</f>
        <v/>
      </c>
      <c r="AH30" s="75" t="str" cm="1">
        <f t="array" aca="1" ref="AH30" ca="1">IF($B30="","",IF(ISBLANK(INDIRECT("R7.Video!D"&amp;SUM(18,38*7,11))),"",INDIRECT("R7.Video!D"&amp;SUM(18,38*7,11))))</f>
        <v/>
      </c>
      <c r="AI30" s="75" t="str" cm="1">
        <f t="array" aca="1" ref="AI30" ca="1">IF($B30="","",IF(ISBLANK(INDIRECT("R7.Video!D"&amp;SUM(18,38*8,11))),"",INDIRECT("R7.Video!D"&amp;SUM(18,38*8,11))))</f>
        <v/>
      </c>
      <c r="AJ30" s="75" t="str" cm="1">
        <f t="array" aca="1" ref="AJ30" ca="1">IF($B30="","",IF(ISBLANK(INDIRECT("R9.Web!D"&amp;SUM(18,38*0,11))),"",INDIRECT("R9.Web!D"&amp;SUM(18,38*0,11))))</f>
        <v/>
      </c>
      <c r="AK30" s="75" t="str" cm="1">
        <f t="array" aca="1" ref="AK30" ca="1">IF($B30="","",IF(ISBLANK(INDIRECT("R9.Web!D"&amp;SUM(18,38*1,11))),"",INDIRECT("R9.Web!D"&amp;SUM(18,38*1,11))))</f>
        <v/>
      </c>
      <c r="AL30" s="75" t="str" cm="1">
        <f t="array" aca="1" ref="AL30" ca="1">IF($B30="","",IF(ISBLANK(INDIRECT("R9.Web!D"&amp;SUM(18,38*2,11))),"",INDIRECT("R9.Web!D"&amp;SUM(18,38*2,11))))</f>
        <v/>
      </c>
      <c r="AM30" s="75" t="str" cm="1">
        <f t="array" aca="1" ref="AM30" ca="1">IF($B30="","",IF(ISBLANK(INDIRECT("R9.Web!D"&amp;SUM(18,38*3,11))),"",INDIRECT("R9.Web!D"&amp;SUM(18,38*3,11))))</f>
        <v/>
      </c>
      <c r="AN30" s="75" t="str" cm="1">
        <f t="array" aca="1" ref="AN30" ca="1">IF($B30="","",IF(ISBLANK(INDIRECT("R9.Web!D"&amp;SUM(18,38*4,11))),"",INDIRECT("R9.Web!D"&amp;SUM(18,38*4,11))))</f>
        <v/>
      </c>
      <c r="AO30" s="75" t="str" cm="1">
        <f t="array" aca="1" ref="AO30" ca="1">IF($B30="","",IF(ISBLANK(INDIRECT("R9.Web!D"&amp;SUM(18,38*5,11))),"",INDIRECT("R9.Web!D"&amp;SUM(18,38*5,11))))</f>
        <v/>
      </c>
      <c r="AP30" s="75" t="str" cm="1">
        <f t="array" aca="1" ref="AP30" ca="1">IF($B30="","",IF(ISBLANK(INDIRECT("R9.Web!D"&amp;SUM(18,38*6,11))),"",INDIRECT("R9.Web!D"&amp;SUM(18,38*6,11))))</f>
        <v/>
      </c>
      <c r="AQ30" s="75" t="str" cm="1">
        <f t="array" aca="1" ref="AQ30" ca="1">IF($B30="","",IF(ISBLANK(INDIRECT("R9.Web!D"&amp;SUM(18,38*7,11))),"",INDIRECT("R9.Web!D"&amp;SUM(18,38*7,11))))</f>
        <v/>
      </c>
      <c r="AR30" s="75" t="str" cm="1">
        <f t="array" aca="1" ref="AR30" ca="1">IF($B30="","",IF(ISBLANK(INDIRECT("R9.Web!D"&amp;SUM(18,38*8,11))),"",INDIRECT("R9.Web!D"&amp;SUM(18,38*8,11))))</f>
        <v/>
      </c>
      <c r="AS30" s="75" t="str" cm="1">
        <f t="array" aca="1" ref="AS30" ca="1">IF($B30="","",IF(ISBLANK(INDIRECT("R9.Web!D"&amp;SUM(18,38*9,11))),"",INDIRECT("R9.Web!D"&amp;SUM(18,38*9,11))))</f>
        <v/>
      </c>
      <c r="AT30" s="75" t="str" cm="1">
        <f t="array" aca="1" ref="AT30" ca="1">IF($B30="","",IF(ISBLANK(INDIRECT("R9.Web!D"&amp;SUM(18,38*10,11))),"",INDIRECT("R9.Web!D"&amp;SUM(18,38*10,11))))</f>
        <v/>
      </c>
      <c r="AU30" s="75" t="str" cm="1">
        <f t="array" aca="1" ref="AU30" ca="1">IF($B30="","",IF(ISBLANK(INDIRECT("R9.Web!D"&amp;SUM(18,38*11,11))),"",INDIRECT("R9.Web!D"&amp;SUM(18,38*11,11))))</f>
        <v/>
      </c>
      <c r="AV30" s="75" t="str" cm="1">
        <f t="array" aca="1" ref="AV30" ca="1">IF($B30="","",IF(ISBLANK(INDIRECT("R9.Web!D"&amp;SUM(18,38*12,11))),"",INDIRECT("R9.Web!D"&amp;SUM(18,38*12,11))))</f>
        <v/>
      </c>
      <c r="AW30" s="75" t="str" cm="1">
        <f t="array" aca="1" ref="AW30" ca="1">IF($B30="","",IF(ISBLANK(INDIRECT("R9.Web!D"&amp;SUM(18,38*13,11))),"",INDIRECT("R9.Web!D"&amp;SUM(18,38*13,11))))</f>
        <v/>
      </c>
      <c r="AX30" s="75" t="str" cm="1">
        <f t="array" aca="1" ref="AX30" ca="1">IF($B30="","",IF(ISBLANK(INDIRECT("R9.Web!D"&amp;SUM(18,38*14,11))),"",INDIRECT("R9.Web!D"&amp;SUM(18,38*14,11))))</f>
        <v/>
      </c>
      <c r="AY30" s="75" t="str" cm="1">
        <f t="array" aca="1" ref="AY30" ca="1">IF($B30="","",IF(ISBLANK(INDIRECT("R9.Web!D"&amp;SUM(18,38*15,11))),"",INDIRECT("R9.Web!D"&amp;SUM(18,38*15,11))))</f>
        <v/>
      </c>
      <c r="AZ30" s="75" t="str" cm="1">
        <f t="array" aca="1" ref="AZ30" ca="1">IF($B30="","",IF(ISBLANK(INDIRECT("R9.Web!D"&amp;SUM(18,38*16,11))),"",INDIRECT("R9.Web!D"&amp;SUM(18,38*16,11))))</f>
        <v/>
      </c>
      <c r="BA30" s="75" t="str" cm="1">
        <f t="array" aca="1" ref="BA30" ca="1">IF($B30="","",IF(ISBLANK(INDIRECT("R9.Web!D"&amp;SUM(18,38*17,11))),"",INDIRECT("R9.Web!D"&amp;SUM(18,38*17,11))))</f>
        <v/>
      </c>
      <c r="BB30" s="75" t="str" cm="1">
        <f t="array" aca="1" ref="BB30" ca="1">IF($B30="","",IF(ISBLANK(INDIRECT("R9.Web!D"&amp;SUM(18,38*18,11))),"",INDIRECT("R9.Web!D"&amp;SUM(18,38*18,11))))</f>
        <v/>
      </c>
      <c r="BC30" s="75" t="str" cm="1">
        <f t="array" aca="1" ref="BC30" ca="1">IF($B30="","",IF(ISBLANK(INDIRECT("R9.Web!D"&amp;SUM(18,38*19,11))),"",INDIRECT("R9.Web!D"&amp;SUM(18,38*19,11))))</f>
        <v/>
      </c>
      <c r="BD30" s="75" t="str" cm="1">
        <f t="array" aca="1" ref="BD30" ca="1">IF($B30="","",IF(ISBLANK(INDIRECT("R9.Web!D"&amp;SUM(18,38*20,11))),"",INDIRECT("R9.Web!D"&amp;SUM(18,38*20,11))))</f>
        <v/>
      </c>
      <c r="BE30" s="75" t="str" cm="1">
        <f t="array" aca="1" ref="BE30" ca="1">IF($B30="","",IF(ISBLANK(INDIRECT("R9.Web!D"&amp;SUM(18,38*21,11))),"",INDIRECT("R9.Web!D"&amp;SUM(18,38*21,11))))</f>
        <v/>
      </c>
      <c r="BF30" s="75" t="str" cm="1">
        <f t="array" aca="1" ref="BF30" ca="1">IF($B30="","",IF(ISBLANK(INDIRECT("R9.Web!D"&amp;SUM(18,38*22,11))),"",INDIRECT("R9.Web!D"&amp;SUM(18,38*22,11))))</f>
        <v/>
      </c>
      <c r="BG30" s="75" t="str" cm="1">
        <f t="array" aca="1" ref="BG30" ca="1">IF($B30="","",IF(ISBLANK(INDIRECT("R9.Web!D"&amp;SUM(18,38*23,11))),"",INDIRECT("R9.Web!D"&amp;SUM(18,38*23,11))))</f>
        <v/>
      </c>
      <c r="BH30" s="75" t="str" cm="1">
        <f t="array" aca="1" ref="BH30" ca="1">IF($B30="","",IF(ISBLANK(INDIRECT("R9.Web!D"&amp;SUM(18,38*24,11))),"",INDIRECT("R9.Web!D"&amp;SUM(18,38*24,11))))</f>
        <v/>
      </c>
      <c r="BI30" s="75" t="str" cm="1">
        <f t="array" aca="1" ref="BI30" ca="1">IF($B30="","",IF(ISBLANK(INDIRECT("R9.Web!D"&amp;SUM(18,38*25,11))),"",INDIRECT("R9.Web!D"&amp;SUM(18,38*25,11))))</f>
        <v/>
      </c>
      <c r="BJ30" s="75" t="str" cm="1">
        <f t="array" aca="1" ref="BJ30" ca="1">IF($B30="","",IF(ISBLANK(INDIRECT("R9.Web!D"&amp;SUM(18,38*26,11))),"",INDIRECT("R9.Web!D"&amp;SUM(18,38*26,11))))</f>
        <v/>
      </c>
      <c r="BK30" s="75" t="str" cm="1">
        <f t="array" aca="1" ref="BK30" ca="1">IF($B30="","",IF(ISBLANK(INDIRECT("R9.Web!D"&amp;SUM(18,38*27,11))),"",INDIRECT("R9.Web!D"&amp;SUM(18,38*27,11))))</f>
        <v/>
      </c>
      <c r="BL30" s="75" t="str" cm="1">
        <f t="array" aca="1" ref="BL30" ca="1">IF($B30="","",IF(ISBLANK(INDIRECT("R9.Web!D"&amp;SUM(18,38*28,11))),"",INDIRECT("R9.Web!D"&amp;SUM(18,38*28,11))))</f>
        <v/>
      </c>
      <c r="BM30" s="75" t="str" cm="1">
        <f t="array" aca="1" ref="BM30" ca="1">IF($B30="","",IF(ISBLANK(INDIRECT("R9.Web!D"&amp;SUM(18,38*29,11))),"",INDIRECT("R9.Web!D"&amp;SUM(18,38*29,11))))</f>
        <v/>
      </c>
      <c r="BN30" s="75" t="str" cm="1">
        <f t="array" aca="1" ref="BN30" ca="1">IF($B30="","",IF(ISBLANK(INDIRECT("R9.Web!D"&amp;SUM(18,38*30,11))),"",INDIRECT("R9.Web!D"&amp;SUM(18,38*30,11))))</f>
        <v/>
      </c>
      <c r="BO30" s="75" t="str" cm="1">
        <f t="array" aca="1" ref="BO30" ca="1">IF($B30="","",IF(ISBLANK(INDIRECT("R9.Web!D"&amp;SUM(18,38*31,11))),"",INDIRECT("R9.Web!D"&amp;SUM(18,38*31,11))))</f>
        <v/>
      </c>
      <c r="BP30" s="75" t="str" cm="1">
        <f t="array" aca="1" ref="BP30" ca="1">IF($B30="","",IF(ISBLANK(INDIRECT("R9.Web!D"&amp;SUM(18,38*32,11))),"",INDIRECT("R9.Web!D"&amp;SUM(18,38*32,11))))</f>
        <v/>
      </c>
      <c r="BQ30" s="75" t="str" cm="1">
        <f t="array" aca="1" ref="BQ30" ca="1">IF($B30="","",IF(ISBLANK(INDIRECT("R9.Web!D"&amp;SUM(18,38*33,11))),"",INDIRECT("R9.Web!D"&amp;SUM(18,38*33,11))))</f>
        <v/>
      </c>
      <c r="BR30" s="75" t="str" cm="1">
        <f t="array" aca="1" ref="BR30" ca="1">IF($B30="","",IF(ISBLANK(INDIRECT("R9.Web!D"&amp;SUM(18,38*34,11))),"",INDIRECT("R9.Web!D"&amp;SUM(18,38*34,11))))</f>
        <v/>
      </c>
      <c r="BS30" s="75" t="str" cm="1">
        <f t="array" aca="1" ref="BS30" ca="1">IF($B30="","",IF(ISBLANK(INDIRECT("R9.Web!D"&amp;SUM(18,38*35,11))),"",INDIRECT("R9.Web!D"&amp;SUM(18,38*35,11))))</f>
        <v/>
      </c>
      <c r="BT30" s="75" t="str" cm="1">
        <f t="array" aca="1" ref="BT30" ca="1">IF($B30="","",IF(ISBLANK(INDIRECT("R9.Web!D"&amp;SUM(18,38*36,11))),"",INDIRECT("R9.Web!D"&amp;SUM(18,38*36,11))))</f>
        <v/>
      </c>
      <c r="BU30" s="75" t="str" cm="1">
        <f t="array" aca="1" ref="BU30" ca="1">IF($B30="","",IF(ISBLANK(INDIRECT("R9.Web!D"&amp;SUM(18,38*37,11))),"",INDIRECT("R9.Web!D"&amp;SUM(18,38*37,11))))</f>
        <v/>
      </c>
      <c r="BV30" s="75" t="str" cm="1">
        <f t="array" aca="1" ref="BV30" ca="1">IF($B30="","",IF(ISBLANK(INDIRECT("R9.Web!D"&amp;SUM(18,38*38,11))),"",INDIRECT("R9.Web!D"&amp;SUM(18,38*38,11))))</f>
        <v/>
      </c>
      <c r="BW30" s="75" t="str" cm="1">
        <f t="array" aca="1" ref="BW30" ca="1">IF($B30="","",IF(ISBLANK(INDIRECT("R9.Web!D"&amp;SUM(18,38*39,11))),"",INDIRECT("R9.Web!D"&amp;SUM(18,38*39,11))))</f>
        <v/>
      </c>
      <c r="BX30" s="75" t="str" cm="1">
        <f t="array" aca="1" ref="BX30" ca="1">IF($B30="","",IF(ISBLANK(INDIRECT("R9.Web!D"&amp;SUM(18,38*40,11))),"",INDIRECT("R9.Web!D"&amp;SUM(18,38*40,11))))</f>
        <v/>
      </c>
      <c r="BY30" s="75" t="str" cm="1">
        <f t="array" aca="1" ref="BY30" ca="1">IF($B30="","",IF(ISBLANK(INDIRECT("R9.Web!D"&amp;SUM(18,38*41,11))),"",INDIRECT("R9.Web!D"&amp;SUM(18,38*41,11))))</f>
        <v/>
      </c>
      <c r="BZ30" s="75" t="str" cm="1">
        <f t="array" aca="1" ref="BZ30" ca="1">IF($B30="","",IF(ISBLANK(INDIRECT("R9.Web!D"&amp;SUM(18,38*42,11))),"",INDIRECT("R9.Web!D"&amp;SUM(18,38*42,11))))</f>
        <v/>
      </c>
      <c r="CA30" s="75" t="str" cm="1">
        <f t="array" aca="1" ref="CA30" ca="1">IF($B30="","",IF(ISBLANK(INDIRECT("R9.Web!D"&amp;SUM(18,38*43,11))),"",INDIRECT("R9.Web!D"&amp;SUM(18,38*43,11))))</f>
        <v/>
      </c>
      <c r="CB30" s="75" t="str" cm="1">
        <f t="array" aca="1" ref="CB30" ca="1">IF($B30="","",IF(ISBLANK(INDIRECT("R9.Web!D"&amp;SUM(18,38*44,11))),"",INDIRECT("R9.Web!D"&amp;SUM(18,38*44,11))))</f>
        <v/>
      </c>
      <c r="CC30" s="75" t="str" cm="1">
        <f t="array" aca="1" ref="CC30" ca="1">IF($B30="","",IF(ISBLANK(INDIRECT("R9.Web!D"&amp;SUM(18,38*45,11))),"",INDIRECT("R9.Web!D"&amp;SUM(18,38*45,11))))</f>
        <v/>
      </c>
      <c r="CD30" s="75" t="str" cm="1">
        <f t="array" aca="1" ref="CD30" ca="1">IF($B30="","",IF(ISBLANK(INDIRECT("R9.Web!D"&amp;SUM(18,38*46,11))),"",INDIRECT("R9.Web!D"&amp;SUM(18,38*46,11))))</f>
        <v/>
      </c>
      <c r="CE30" s="75" t="str" cm="1">
        <f t="array" aca="1" ref="CE30" ca="1">IF($B30="","",IF(ISBLANK(INDIRECT("R9.Web!D"&amp;SUM(18,38*47,11))),"",INDIRECT("R9.Web!D"&amp;SUM(18,38*47,11))))</f>
        <v/>
      </c>
      <c r="CF30" s="75" t="str" cm="1">
        <f t="array" aca="1" ref="CF30" ca="1">IF($B30="","",IF(ISBLANK(INDIRECT("R9.Web!D"&amp;SUM(18,38*48,11))),"",INDIRECT("R9.Web!D"&amp;SUM(18,38*48,11))))</f>
        <v/>
      </c>
      <c r="CG30" s="75" t="str" cm="1">
        <f t="array" aca="1" ref="CG30" ca="1">IF($B30="","",IF(ISBLANK(INDIRECT("R9.Web!D"&amp;SUM(18,38*49,11))),"",INDIRECT("R9.Web!D"&amp;SUM(18,38*49,11))))</f>
        <v/>
      </c>
      <c r="CH30" s="75" t="str" cm="1">
        <f t="array" aca="1" ref="CH30" ca="1">IF($B30="","",IF(ISBLANK(INDIRECT("R11.Software!D"&amp;SUM(18,38*0,11))),"",INDIRECT("R11.Software!D"&amp;SUM(18,38*0,11))))</f>
        <v/>
      </c>
      <c r="CI30" s="75" t="str" cm="1">
        <f t="array" aca="1" ref="CI30" ca="1">IF($B30="","",IF(ISBLANK(INDIRECT("R11.Software!D"&amp;SUM(18,38*1,11))),"",INDIRECT("R11.Software!D"&amp;SUM(18,38*1,11))))</f>
        <v/>
      </c>
      <c r="CJ30" s="75" t="str" cm="1">
        <f t="array" aca="1" ref="CJ30" ca="1">IF($B30="","",IF(ISBLANK(INDIRECT("R11.Software!D"&amp;SUM(18,38*2,11))),"",INDIRECT("R11.Software!D"&amp;SUM(18,38*2,11))))</f>
        <v/>
      </c>
      <c r="CK30" s="75" t="str" cm="1">
        <f t="array" aca="1" ref="CK30" ca="1">IF($B30="","",IF(ISBLANK(INDIRECT("R11.Software!D"&amp;SUM(18,38*3,11))),"",INDIRECT("R11.Software!D"&amp;SUM(18,38*3,11))))</f>
        <v/>
      </c>
      <c r="CL30" s="75" t="str" cm="1">
        <f t="array" aca="1" ref="CL30" ca="1">IF($B30="","",IF(ISBLANK(INDIRECT("R11.Software!D"&amp;SUM(18,38*4,11))),"",INDIRECT("R11.Software!D"&amp;SUM(18,38*4,11))))</f>
        <v/>
      </c>
      <c r="CM30" s="75" t="str" cm="1">
        <f t="array" aca="1" ref="CM30" ca="1">IF($B30="","",IF(ISBLANK(INDIRECT("R11.Software!D"&amp;SUM(18,38*5,11))),"",INDIRECT("R11.Software!D"&amp;SUM(18,38*5,11))))</f>
        <v/>
      </c>
      <c r="CN30" s="75" t="str" cm="1">
        <f t="array" aca="1" ref="CN30" ca="1">IF($B30="","",IF(ISBLANK(INDIRECT("R12.ServiciosApoyo!D"&amp;SUM(18,38*0,11))),"",INDIRECT("R12.ServiciosApoyo!D"&amp;SUM(18,38*0,11))))</f>
        <v/>
      </c>
      <c r="CO30" s="75" t="str" cm="1">
        <f t="array" aca="1" ref="CO30" ca="1">IF($B30="","",IF(ISBLANK(INDIRECT("R12.ServiciosApoyo!D"&amp;SUM(18,38*1,11))),"",INDIRECT("R12.ServiciosApoyo!D"&amp;SUM(18,38*1,11))))</f>
        <v/>
      </c>
      <c r="CP30" s="75" t="str" cm="1">
        <f t="array" aca="1" ref="CP30" ca="1">IF($B30="","",IF(ISBLANK(INDIRECT("R12.ServiciosApoyo!D"&amp;SUM(18,38*2,11))),"",INDIRECT("R12.ServiciosApoyo!D"&amp;SUM(18,38*2,11))))</f>
        <v/>
      </c>
      <c r="CQ30" s="75" t="str" cm="1">
        <f t="array" aca="1" ref="CQ30" ca="1">IF($B30="","",IF(ISBLANK(INDIRECT("R12.ServiciosApoyo!D"&amp;SUM(18,38*3,11))),"",INDIRECT("R12.ServiciosApoyo!D"&amp;SUM(18,38*3,11))))</f>
        <v/>
      </c>
      <c r="CR30" s="75" t="str" cm="1">
        <f t="array" aca="1" ref="CR30" ca="1">IF($B30="","",IF(ISBLANK(INDIRECT("R12.ServiciosApoyo!D"&amp;SUM(18,38*4,11))),"",INDIRECT("R12.ServiciosApoyo!D"&amp;SUM(18,38*4,11))))</f>
        <v/>
      </c>
      <c r="CU30" s="76"/>
      <c r="CV30" s="77"/>
    </row>
    <row r="31" spans="2:100" ht="20.5">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5">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5">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5">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5">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5">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CONFORME</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NO CONFORME</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CONFORME</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NO 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NO CONFORME</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N/A</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N/A</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5">
      <c r="AI56" s="76"/>
    </row>
    <row r="58" spans="2:99" ht="30.75" customHeight="1" thickBot="1">
      <c r="B58" s="239" t="s">
        <v>264</v>
      </c>
      <c r="C58" s="239"/>
      <c r="D58" s="239"/>
    </row>
    <row r="59" spans="2:99" ht="23.25" customHeight="1">
      <c r="B59" s="233" t="s">
        <v>270</v>
      </c>
      <c r="C59" s="234"/>
      <c r="D59" s="235"/>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BL8"/>
  <sheetViews>
    <sheetView zoomScale="90" zoomScaleNormal="90" workbookViewId="0">
      <selection activeCell="N2" sqref="N2"/>
    </sheetView>
  </sheetViews>
  <sheetFormatPr baseColWidth="10" defaultColWidth="11.453125" defaultRowHeight="12.5"/>
  <cols>
    <col min="13" max="13" width="12.36328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58" t="s">
        <v>411</v>
      </c>
      <c r="C4" s="258"/>
      <c r="D4" s="258"/>
      <c r="E4" s="258"/>
      <c r="F4" s="258"/>
      <c r="G4" s="258"/>
      <c r="H4" s="258"/>
      <c r="I4" s="258"/>
      <c r="J4" s="258"/>
      <c r="K4" s="258"/>
      <c r="L4" s="258"/>
      <c r="M4" s="258"/>
      <c r="N4" s="258"/>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6" t="s">
        <v>412</v>
      </c>
      <c r="C6" s="256"/>
      <c r="D6" s="256"/>
      <c r="E6" s="256"/>
      <c r="F6" s="256"/>
      <c r="G6" s="256"/>
      <c r="H6" s="256"/>
      <c r="I6" s="256"/>
      <c r="J6" s="256"/>
      <c r="K6" s="256"/>
      <c r="L6" s="256"/>
      <c r="M6" s="256"/>
      <c r="N6" s="256"/>
    </row>
    <row r="7" spans="1:64" ht="172.5" customHeight="1">
      <c r="B7" s="257"/>
      <c r="C7" s="257"/>
      <c r="D7" s="257"/>
      <c r="E7" s="257"/>
      <c r="F7" s="257"/>
      <c r="G7" s="257"/>
      <c r="H7" s="257"/>
      <c r="I7" s="257"/>
      <c r="J7" s="257"/>
      <c r="K7" s="257"/>
      <c r="L7" s="257"/>
      <c r="M7" s="257"/>
      <c r="N7" s="257"/>
    </row>
    <row r="8" spans="1:64" ht="232.5" customHeight="1">
      <c r="B8" s="257"/>
      <c r="C8" s="257"/>
      <c r="D8" s="257"/>
      <c r="E8" s="257"/>
      <c r="F8" s="257"/>
      <c r="G8" s="257"/>
      <c r="H8" s="257"/>
      <c r="I8" s="257"/>
      <c r="J8" s="257"/>
      <c r="K8" s="257"/>
      <c r="L8" s="257"/>
      <c r="M8" s="257"/>
      <c r="N8" s="257"/>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EEEEEE"/>
  </sheetPr>
  <dimension ref="B7:V56"/>
  <sheetViews>
    <sheetView zoomScale="80" zoomScaleNormal="80" workbookViewId="0">
      <selection activeCell="V24" sqref="V24"/>
    </sheetView>
  </sheetViews>
  <sheetFormatPr baseColWidth="10" defaultColWidth="11.54296875" defaultRowHeight="12.5"/>
  <cols>
    <col min="1" max="1" width="3.90625" customWidth="1"/>
    <col min="2" max="2" width="65.08984375" customWidth="1"/>
    <col min="3" max="3" width="18.90625" customWidth="1"/>
    <col min="4" max="4" width="3.90625" customWidth="1"/>
    <col min="5" max="5" width="28.08984375" customWidth="1"/>
    <col min="6" max="6" width="3.90625" customWidth="1"/>
    <col min="7" max="7" width="33.08984375" customWidth="1"/>
    <col min="8" max="8" width="4" customWidth="1"/>
    <col min="9" max="9" width="17.90625" customWidth="1"/>
    <col min="10" max="10" width="3.90625" customWidth="1"/>
    <col min="11" max="11" width="6.54296875" customWidth="1"/>
    <col min="12" max="12" width="3.90625" customWidth="1"/>
    <col min="13" max="13" width="8.6328125" customWidth="1"/>
    <col min="14" max="14" width="3.90625" customWidth="1"/>
    <col min="15" max="15" width="25.36328125" customWidth="1"/>
    <col min="16" max="16" width="3.90625" customWidth="1"/>
    <col min="18" max="18" width="3.90625" customWidth="1"/>
    <col min="19" max="19" width="22.54296875" customWidth="1"/>
    <col min="20" max="20" width="3.90625" customWidth="1"/>
    <col min="21" max="21" width="11.5429687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54</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5.5">
      <c r="B23" s="30" t="s">
        <v>447</v>
      </c>
    </row>
    <row r="25" spans="2:15" ht="15.5">
      <c r="B25" s="31" t="s">
        <v>448</v>
      </c>
      <c r="C25" s="32">
        <v>0.1</v>
      </c>
    </row>
    <row r="26" spans="2:15" ht="15.5">
      <c r="B26" s="31" t="s">
        <v>449</v>
      </c>
      <c r="C26" s="32">
        <v>0.5</v>
      </c>
    </row>
    <row r="27" spans="2:15" ht="15.5">
      <c r="B27" s="31" t="s">
        <v>450</v>
      </c>
      <c r="C27" s="32">
        <v>1</v>
      </c>
    </row>
    <row r="28" spans="2:15">
      <c r="C28" s="33"/>
      <c r="D28" s="33"/>
    </row>
    <row r="29" spans="2:15">
      <c r="C29" s="33"/>
      <c r="D29" s="33"/>
    </row>
    <row r="30" spans="2:15" ht="14">
      <c r="B30" s="34" t="s">
        <v>451</v>
      </c>
      <c r="C30" s="208"/>
      <c r="D30" s="208"/>
    </row>
    <row r="31" spans="2:15" ht="14">
      <c r="B31" s="209"/>
      <c r="C31" s="208"/>
      <c r="D31" s="208"/>
    </row>
    <row r="32" spans="2:15" ht="14">
      <c r="B32" s="209" t="s">
        <v>452</v>
      </c>
      <c r="C32" s="209">
        <v>28</v>
      </c>
      <c r="D32" s="209"/>
    </row>
    <row r="33" spans="2:4" ht="14">
      <c r="B33" s="209" t="s">
        <v>453</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36328125" customWidth="1"/>
    <col min="5" max="5" width="14.08984375" customWidth="1"/>
    <col min="9" max="9" width="2.453125" customWidth="1"/>
    <col min="10" max="10" width="2.6328125" customWidth="1"/>
    <col min="11" max="11" width="27.54296875" customWidth="1"/>
    <col min="13" max="13" width="12.36328125" bestFit="1" customWidth="1"/>
    <col min="14" max="14" width="9.08984375" bestFit="1" customWidth="1"/>
    <col min="15" max="15" width="5.54296875" bestFit="1" customWidth="1"/>
    <col min="16" max="16" width="8.90625" bestFit="1" customWidth="1"/>
    <col min="17" max="19" width="3.54296875" customWidth="1"/>
    <col min="21" max="21" width="14.90625" bestFit="1" customWidth="1"/>
    <col min="22" max="22" width="21.36328125" bestFit="1" customWidth="1"/>
    <col min="26" max="26" width="21.36328125" bestFit="1" customWidth="1"/>
    <col min="120" max="120" width="14.90625" bestFit="1" customWidth="1"/>
    <col min="125" max="125" width="21.36328125" bestFit="1" customWidth="1"/>
  </cols>
  <sheetData>
    <row r="1" spans="1:170" ht="13">
      <c r="A1" s="109" t="s">
        <v>454</v>
      </c>
      <c r="B1" s="109"/>
      <c r="C1" s="109" t="s">
        <v>455</v>
      </c>
      <c r="D1" s="109"/>
      <c r="E1" s="109" t="s">
        <v>456</v>
      </c>
      <c r="F1" s="109"/>
      <c r="G1" s="109"/>
      <c r="H1" s="109"/>
      <c r="I1" s="109"/>
      <c r="J1" s="109"/>
      <c r="K1" s="109" t="s">
        <v>457</v>
      </c>
      <c r="L1" s="109"/>
      <c r="M1" s="109"/>
      <c r="T1" s="260" t="s">
        <v>262</v>
      </c>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59" t="s">
        <v>458</v>
      </c>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row>
    <row r="2" spans="1:170" ht="13">
      <c r="A2" t="s">
        <v>459</v>
      </c>
      <c r="B2" s="111" t="str">
        <f>'00.Info'!N2</f>
        <v>Versión: 2.0.1</v>
      </c>
      <c r="C2" s="109" t="s">
        <v>14</v>
      </c>
      <c r="D2" s="112">
        <f>'01.Definición de ámbito'!C7</f>
        <v>0</v>
      </c>
      <c r="E2" s="109" t="s">
        <v>53</v>
      </c>
      <c r="F2" s="112" t="str">
        <f>'02.Tecnologías'!C9</f>
        <v>Sí</v>
      </c>
      <c r="G2" s="161" t="s">
        <v>460</v>
      </c>
      <c r="H2" s="161" t="s">
        <v>461</v>
      </c>
      <c r="I2" s="161"/>
      <c r="J2" s="161"/>
      <c r="K2" s="118" t="s">
        <v>462</v>
      </c>
      <c r="L2" s="163">
        <f>'03.Muestra'!D45</f>
        <v>9</v>
      </c>
      <c r="M2" s="109"/>
      <c r="T2" s="110" t="s">
        <v>463</v>
      </c>
      <c r="U2" s="110" t="s">
        <v>271</v>
      </c>
      <c r="V2" s="110" t="s">
        <v>464</v>
      </c>
      <c r="W2" s="110" t="s">
        <v>465</v>
      </c>
      <c r="X2" s="110" t="s">
        <v>466</v>
      </c>
      <c r="Y2" s="110" t="s">
        <v>467</v>
      </c>
      <c r="Z2" s="110" t="s">
        <v>78</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78</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ht="13">
      <c r="C3" s="109" t="s">
        <v>15</v>
      </c>
      <c r="D3" s="112">
        <f>'01.Definición de ámbito'!C9</f>
        <v>0</v>
      </c>
      <c r="E3" s="109" t="s">
        <v>57</v>
      </c>
      <c r="F3" s="112" t="str">
        <f>'02.Tecnologías'!C10</f>
        <v>No</v>
      </c>
      <c r="G3" s="112">
        <f>'02.Tecnologías'!K13</f>
        <v>0</v>
      </c>
      <c r="H3" s="112">
        <f>'02.Tecnologías'!L13</f>
        <v>0</v>
      </c>
      <c r="I3" s="162"/>
      <c r="J3" s="162"/>
      <c r="K3" s="118" t="s">
        <v>468</v>
      </c>
      <c r="L3" s="163">
        <f>'03.Muestra'!D47</f>
        <v>7</v>
      </c>
      <c r="M3" s="109"/>
      <c r="T3" s="113">
        <f>RESULTADOS!B20</f>
        <v>1</v>
      </c>
      <c r="U3" s="113" t="str">
        <f>RESULTADOS!C20</f>
        <v>Home</v>
      </c>
      <c r="V3" s="113" t="str">
        <f>IF(T3&lt;&gt;"","Página web","")</f>
        <v>Página web</v>
      </c>
      <c r="W3" s="113" t="str">
        <f t="array" ref="W3:W37">IFERROR(INDEX('03.Muestra'!$E$8:$E$42,SMALL(IF("Página Web"='03.Muestra'!$D$8:$D$42,ROW('03.Muestra'!$E$8:$E$42)-MIN(ROW('03.Muestra'!$D$8:$D$42))+1,""),ROW()-2)),"")</f>
        <v>Página inicio</v>
      </c>
      <c r="X3" s="113" t="str">
        <f>RESULTADOS!D20</f>
        <v>https://www.comunidad.madrid/hospital/12octubre/</v>
      </c>
      <c r="Y3" s="113" t="str">
        <f t="array" ref="Y3:Y37">IFERROR(INDEX('03.Muestra'!$G$8:$G$42,SMALL(IF("Página Web"='03.Muestra'!$D$8:$D$42,ROW('03.Muestra'!$G$8:$GE$42)-MIN(ROW('03.Muestra'!$D$8:$D$42))+1,""),ROW()-2)),"")</f>
        <v>Home</v>
      </c>
      <c r="Z3" s="188">
        <f t="array" ref="Z3:Z37">IFERROR(INDEX('03.Muestra'!$H$8:$H$42,SMALL(IF("Página Web"='03.Muestra'!$D$8:$D$42,ROW('03.Muestra'!$H$8:$H$42)-MIN(ROW('03.Muestra'!$D$8:$D$42))+1,""),ROW()-2)),"")</f>
        <v>0</v>
      </c>
      <c r="AA3" s="111" t="str">
        <f ca="1">RESULTADOS!E20</f>
        <v>Pasa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Falla</v>
      </c>
      <c r="BG3" s="111" t="str">
        <f ca="1">RESULTADOS!AK20</f>
        <v>N/A</v>
      </c>
      <c r="BH3" s="111" t="str">
        <f ca="1">RESULTADOS!AL20</f>
        <v>N/A</v>
      </c>
      <c r="BI3" s="111" t="str">
        <f ca="1">RESULTADOS!AM20</f>
        <v>N/A</v>
      </c>
      <c r="BJ3" s="111" t="str">
        <f ca="1">RESULTADOS!AN20</f>
        <v>N/A</v>
      </c>
      <c r="BK3" s="111" t="str">
        <f ca="1">RESULTADOS!AO20</f>
        <v>Falla</v>
      </c>
      <c r="BL3" s="111" t="str">
        <f ca="1">RESULTADOS!AP20</f>
        <v>Pasa</v>
      </c>
      <c r="BM3" s="111" t="str">
        <f ca="1">RESULTADOS!AQ20</f>
        <v>Falla</v>
      </c>
      <c r="BN3" s="111" t="str">
        <f ca="1">RESULTADOS!AR20</f>
        <v>N/A</v>
      </c>
      <c r="BO3" s="111" t="str">
        <f ca="1">RESULTADOS!AS20</f>
        <v>N/A</v>
      </c>
      <c r="BP3" s="111" t="str">
        <f ca="1">RESULTADOS!AT20</f>
        <v>Pasa</v>
      </c>
      <c r="BQ3" s="111" t="str">
        <f ca="1">RESULTADOS!AU20</f>
        <v>N/A</v>
      </c>
      <c r="BR3" s="111" t="str">
        <f ca="1">RESULTADOS!AV20</f>
        <v>Falla</v>
      </c>
      <c r="BS3" s="111" t="str">
        <f ca="1">RESULTADOS!AW20</f>
        <v>Pasa</v>
      </c>
      <c r="BT3" s="111" t="str">
        <f ca="1">RESULTADOS!AX20</f>
        <v>N/A</v>
      </c>
      <c r="BU3" s="111" t="str">
        <f ca="1">RESULTADOS!AY20</f>
        <v>Pasa</v>
      </c>
      <c r="BV3" s="111" t="str">
        <f ca="1">RESULTADOS!AZ20</f>
        <v>Falla</v>
      </c>
      <c r="BW3" s="111" t="str">
        <f ca="1">RESULTADOS!BA20</f>
        <v>Pasa</v>
      </c>
      <c r="BX3" s="111" t="str">
        <f ca="1">RESULTADOS!BB20</f>
        <v>N/A</v>
      </c>
      <c r="BY3" s="111" t="str">
        <f ca="1">RESULTADOS!BC20</f>
        <v>Pasa</v>
      </c>
      <c r="BZ3" s="111" t="str">
        <f ca="1">RESULTADOS!BD20</f>
        <v>Pasa</v>
      </c>
      <c r="CA3" s="111" t="str">
        <f ca="1">RESULTADOS!BE20</f>
        <v>N/A</v>
      </c>
      <c r="CB3" s="111" t="str">
        <f ca="1">RESULTADOS!BF20</f>
        <v>N/A</v>
      </c>
      <c r="CC3" s="111" t="str">
        <f ca="1">RESULTADOS!BG20</f>
        <v>Falla</v>
      </c>
      <c r="CD3" s="111" t="str">
        <f ca="1">RESULTADOS!BH20</f>
        <v>N/A</v>
      </c>
      <c r="CE3" s="111" t="str">
        <f ca="1">RESULTADOS!BI20</f>
        <v>Pasa</v>
      </c>
      <c r="CF3" s="111" t="str">
        <f ca="1">RESULTADOS!BJ20</f>
        <v>Pasa</v>
      </c>
      <c r="CG3" s="111" t="str">
        <f ca="1">RESULTADOS!BK20</f>
        <v>Falla</v>
      </c>
      <c r="CH3" s="111" t="str">
        <f ca="1">RESULTADOS!BL20</f>
        <v>Falla</v>
      </c>
      <c r="CI3" s="111" t="str">
        <f ca="1">RESULTADOS!BM20</f>
        <v>Pasa</v>
      </c>
      <c r="CJ3" s="111" t="str">
        <f ca="1">RESULTADOS!BN20</f>
        <v>Pasa</v>
      </c>
      <c r="CK3" s="111" t="str">
        <f ca="1">RESULTADOS!BO20</f>
        <v>Pasa</v>
      </c>
      <c r="CL3" s="111" t="str">
        <f ca="1">RESULTADOS!BP20</f>
        <v>N/A</v>
      </c>
      <c r="CM3" s="111" t="str">
        <f ca="1">RESULTADOS!BQ20</f>
        <v>N/A</v>
      </c>
      <c r="CN3" s="111" t="str">
        <f ca="1">RESULTADOS!BR20</f>
        <v>Pasa</v>
      </c>
      <c r="CO3" s="111" t="str">
        <f ca="1">RESULTADOS!BS20</f>
        <v>N/A</v>
      </c>
      <c r="CP3" s="111" t="str">
        <f ca="1">RESULTADOS!BT20</f>
        <v>Pasa</v>
      </c>
      <c r="CQ3" s="111" t="str">
        <f ca="1">RESULTADOS!BU20</f>
        <v>N/A</v>
      </c>
      <c r="CR3" s="111" t="str">
        <f ca="1">RESULTADOS!BV20</f>
        <v>Pasa</v>
      </c>
      <c r="CS3" s="111" t="str">
        <f ca="1">RESULTADOS!BW20</f>
        <v>N/A</v>
      </c>
      <c r="CT3" s="111" t="str">
        <f ca="1">RESULTADOS!BX20</f>
        <v>Pasa</v>
      </c>
      <c r="CU3" s="111" t="str">
        <f ca="1">RESULTADOS!BY20</f>
        <v>Pasa</v>
      </c>
      <c r="CV3" s="111" t="str">
        <f ca="1">RESULTADOS!BZ20</f>
        <v>N/A</v>
      </c>
      <c r="CW3" s="111" t="str">
        <f ca="1">RESULTADOS!CA20</f>
        <v>N/A</v>
      </c>
      <c r="CX3" s="111" t="str">
        <f ca="1">RESULTADOS!CB20</f>
        <v>N/A</v>
      </c>
      <c r="CY3" s="111" t="str">
        <f ca="1">RESULTADOS!CC20</f>
        <v>N/A</v>
      </c>
      <c r="CZ3" s="111" t="str">
        <f ca="1">RESULTADOS!CD20</f>
        <v>Pasa</v>
      </c>
      <c r="DA3" s="111" t="str">
        <f ca="1">RESULTADOS!CE20</f>
        <v>Falla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Pasa</v>
      </c>
      <c r="DM3" s="111" t="str">
        <f ca="1">RESULTADOS!CQ20</f>
        <v>Pasa</v>
      </c>
      <c r="DN3" s="111" t="str">
        <f ca="1">RESULTADOS!CR20</f>
        <v>Falla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ht="13">
      <c r="C4" s="109" t="s">
        <v>16</v>
      </c>
      <c r="D4" s="112">
        <f>'01.Definición de ámbito'!C11</f>
        <v>0</v>
      </c>
      <c r="E4" s="109" t="s">
        <v>60</v>
      </c>
      <c r="F4" s="112" t="str">
        <f>'02.Tecnologías'!C11</f>
        <v>No</v>
      </c>
      <c r="G4" s="112">
        <f>'02.Tecnologías'!K14</f>
        <v>0</v>
      </c>
      <c r="H4" s="112">
        <f>'02.Tecnologías'!L14</f>
        <v>0</v>
      </c>
      <c r="I4" s="162"/>
      <c r="J4" s="162"/>
      <c r="K4" s="118" t="s">
        <v>469</v>
      </c>
      <c r="L4" s="163">
        <f>'03.Muestra'!D49</f>
        <v>2</v>
      </c>
      <c r="M4" s="109"/>
      <c r="T4" s="113">
        <f>RESULTADOS!B21</f>
        <v>2</v>
      </c>
      <c r="U4" s="113" t="str">
        <f>RESULTADOS!C21</f>
        <v>Ciudadanos</v>
      </c>
      <c r="V4" s="113" t="str">
        <f t="shared" ref="V4:V37" si="0">IF(T4&lt;&gt;"","Página web","")</f>
        <v>Página web</v>
      </c>
      <c r="W4" s="113" t="str">
        <v>Pagina tipo</v>
      </c>
      <c r="X4" s="113" t="str">
        <f>RESULTADOS!D21</f>
        <v>https://www.comunidad.madrid/hospital/12octubre/ciudadanos</v>
      </c>
      <c r="Y4" s="113" t="str">
        <v>Home - Ciudadanos</v>
      </c>
      <c r="Z4" s="188">
        <v>0</v>
      </c>
      <c r="AA4" s="111" t="str">
        <f ca="1">RESULTADOS!E21</f>
        <v>Pasa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Falla</v>
      </c>
      <c r="BL4" s="111" t="str">
        <f ca="1">RESULTADOS!AP21</f>
        <v>Pasa</v>
      </c>
      <c r="BM4" s="111" t="str">
        <f ca="1">RESULTADOS!AQ21</f>
        <v>Falla</v>
      </c>
      <c r="BN4" s="111" t="str">
        <f ca="1">RESULTADOS!AR21</f>
        <v>N/A</v>
      </c>
      <c r="BO4" s="111" t="str">
        <f ca="1">RESULTADOS!AS21</f>
        <v>N/A</v>
      </c>
      <c r="BP4" s="111" t="str">
        <f ca="1">RESULTADOS!AT21</f>
        <v>N/A</v>
      </c>
      <c r="BQ4" s="111" t="str">
        <f ca="1">RESULTADOS!AU21</f>
        <v>N/A</v>
      </c>
      <c r="BR4" s="111" t="str">
        <f ca="1">RESULTADOS!AV21</f>
        <v>Falla</v>
      </c>
      <c r="BS4" s="111" t="str">
        <f ca="1">RESULTADOS!AW21</f>
        <v>Pasa</v>
      </c>
      <c r="BT4" s="111" t="str">
        <f ca="1">RESULTADOS!AX21</f>
        <v>N/A</v>
      </c>
      <c r="BU4" s="111" t="str">
        <f ca="1">RESULTADOS!AY21</f>
        <v>Pasa</v>
      </c>
      <c r="BV4" s="111" t="str">
        <f ca="1">RESULTADOS!AZ21</f>
        <v>Falla</v>
      </c>
      <c r="BW4" s="111" t="str">
        <f ca="1">RESULTADOS!BA21</f>
        <v>Pasa</v>
      </c>
      <c r="BX4" s="111" t="str">
        <f ca="1">RESULTADOS!BB21</f>
        <v>N/A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Falla</v>
      </c>
      <c r="CH4" s="111" t="str">
        <f ca="1">RESULTADOS!BL21</f>
        <v>Pasa</v>
      </c>
      <c r="CI4" s="111" t="str">
        <f ca="1">RESULTADOS!BM21</f>
        <v>Pasa</v>
      </c>
      <c r="CJ4" s="111" t="str">
        <f ca="1">RESULTADOS!BN21</f>
        <v>Pasa</v>
      </c>
      <c r="CK4" s="111" t="str">
        <f ca="1">RESULTADOS!BO21</f>
        <v>Pasa</v>
      </c>
      <c r="CL4" s="111" t="str">
        <f ca="1">RESULTADOS!BP21</f>
        <v>N/A</v>
      </c>
      <c r="CM4" s="111" t="str">
        <f ca="1">RESULTADOS!BQ21</f>
        <v>N/A</v>
      </c>
      <c r="CN4" s="111" t="str">
        <f ca="1">RESULTADOS!BR21</f>
        <v>Pasa</v>
      </c>
      <c r="CO4" s="111" t="str">
        <f ca="1">RESULTADOS!BS21</f>
        <v>N/A</v>
      </c>
      <c r="CP4" s="111" t="str">
        <f ca="1">RESULTADOS!BT21</f>
        <v>Pasa</v>
      </c>
      <c r="CQ4" s="111" t="str">
        <f ca="1">RESULTADOS!BU21</f>
        <v>N/A</v>
      </c>
      <c r="CR4" s="111" t="str">
        <f ca="1">RESULTADOS!BV21</f>
        <v>Pasa</v>
      </c>
      <c r="CS4" s="111" t="str">
        <f ca="1">RESULTADOS!BW21</f>
        <v>N/A</v>
      </c>
      <c r="CT4" s="111" t="str">
        <f ca="1">RESULTADOS!BX21</f>
        <v>Pasa</v>
      </c>
      <c r="CU4" s="111" t="str">
        <f ca="1">RESULTADOS!BY21</f>
        <v>Pasa</v>
      </c>
      <c r="CV4" s="111" t="str">
        <f ca="1">RESULTADOS!BZ21</f>
        <v>N/A</v>
      </c>
      <c r="CW4" s="111" t="str">
        <f ca="1">RESULTADOS!CA21</f>
        <v>N/A</v>
      </c>
      <c r="CX4" s="111" t="str">
        <f ca="1">RESULTADOS!CB21</f>
        <v>N/A</v>
      </c>
      <c r="CY4" s="111" t="str">
        <f ca="1">RESULTADOS!CC21</f>
        <v>N/A</v>
      </c>
      <c r="CZ4" s="111" t="str">
        <f ca="1">RESULTADOS!CD21</f>
        <v>Pasa</v>
      </c>
      <c r="DA4" s="111" t="str">
        <f ca="1">RESULTADOS!CE21</f>
        <v>Pasa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Pasa</v>
      </c>
      <c r="DM4" s="111" t="str">
        <f ca="1">RESULTADOS!CQ21</f>
        <v>Pasa</v>
      </c>
      <c r="DN4" s="111" t="str">
        <f ca="1">RESULTADOS!CR21</f>
        <v>Falla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f>'01.Definición de ámbito'!C13</f>
        <v>0</v>
      </c>
      <c r="E5" s="109" t="s">
        <v>63</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Profesionales</v>
      </c>
      <c r="V5" s="113" t="str">
        <f t="shared" si="0"/>
        <v>Página web</v>
      </c>
      <c r="W5" s="113" t="str">
        <v>Pagina tipo</v>
      </c>
      <c r="X5" s="113" t="str">
        <f>RESULTADOS!D22</f>
        <v>https://www.comunidad.madrid/hospital/12octubre/profesionales</v>
      </c>
      <c r="Y5" s="113" t="str">
        <v>Home - Profesionales</v>
      </c>
      <c r="Z5" s="188">
        <v>0</v>
      </c>
      <c r="AA5" s="111" t="str">
        <f ca="1">RESULTADOS!E22</f>
        <v>Pasa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Pasa</v>
      </c>
      <c r="BL5" s="111" t="str">
        <f ca="1">RESULTADOS!AP22</f>
        <v>Pasa</v>
      </c>
      <c r="BM5" s="111" t="str">
        <f ca="1">RESULTADOS!AQ22</f>
        <v>Falla</v>
      </c>
      <c r="BN5" s="111" t="str">
        <f ca="1">RESULTADOS!AR22</f>
        <v>N/A</v>
      </c>
      <c r="BO5" s="111" t="str">
        <f ca="1">RESULTADOS!AS22</f>
        <v>N/A</v>
      </c>
      <c r="BP5" s="111" t="str">
        <f ca="1">RESULTADOS!AT22</f>
        <v>N/A</v>
      </c>
      <c r="BQ5" s="111" t="str">
        <f ca="1">RESULTADOS!AU22</f>
        <v>N/A</v>
      </c>
      <c r="BR5" s="111" t="str">
        <f ca="1">RESULTADOS!AV22</f>
        <v>Falla</v>
      </c>
      <c r="BS5" s="111" t="str">
        <f ca="1">RESULTADOS!AW22</f>
        <v>Pasa</v>
      </c>
      <c r="BT5" s="111" t="str">
        <f ca="1">RESULTADOS!AX22</f>
        <v>N/A</v>
      </c>
      <c r="BU5" s="111" t="str">
        <f ca="1">RESULTADOS!AY22</f>
        <v>Pasa</v>
      </c>
      <c r="BV5" s="111" t="str">
        <f ca="1">RESULTADOS!AZ22</f>
        <v>Falla</v>
      </c>
      <c r="BW5" s="111" t="str">
        <f ca="1">RESULTADOS!BA22</f>
        <v>Pasa</v>
      </c>
      <c r="BX5" s="111" t="str">
        <f ca="1">RESULTADOS!BB22</f>
        <v>N/A</v>
      </c>
      <c r="BY5" s="111" t="str">
        <f ca="1">RESULTADOS!BC22</f>
        <v>Pasa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Falla</v>
      </c>
      <c r="CH5" s="111" t="str">
        <f ca="1">RESULTADOS!BL22</f>
        <v>Pasa</v>
      </c>
      <c r="CI5" s="111" t="str">
        <f ca="1">RESULTADOS!BM22</f>
        <v>Pasa</v>
      </c>
      <c r="CJ5" s="111" t="str">
        <f ca="1">RESULTADOS!BN22</f>
        <v>Pasa</v>
      </c>
      <c r="CK5" s="111" t="str">
        <f ca="1">RESULTADOS!BO22</f>
        <v>Pasa</v>
      </c>
      <c r="CL5" s="111" t="str">
        <f ca="1">RESULTADOS!BP22</f>
        <v>N/A</v>
      </c>
      <c r="CM5" s="111" t="str">
        <f ca="1">RESULTADOS!BQ22</f>
        <v>N/A</v>
      </c>
      <c r="CN5" s="111" t="str">
        <f ca="1">RESULTADOS!BR22</f>
        <v>Pasa</v>
      </c>
      <c r="CO5" s="111" t="str">
        <f ca="1">RESULTADOS!BS22</f>
        <v>N/A</v>
      </c>
      <c r="CP5" s="111" t="str">
        <f ca="1">RESULTADOS!BT22</f>
        <v>Pasa</v>
      </c>
      <c r="CQ5" s="111" t="str">
        <f ca="1">RESULTADOS!BU22</f>
        <v>N/A</v>
      </c>
      <c r="CR5" s="111" t="str">
        <f ca="1">RESULTADOS!BV22</f>
        <v>Pasa</v>
      </c>
      <c r="CS5" s="111" t="str">
        <f ca="1">RESULTADOS!BW22</f>
        <v>N/A</v>
      </c>
      <c r="CT5" s="111" t="str">
        <f ca="1">RESULTADOS!BX22</f>
        <v>Pasa</v>
      </c>
      <c r="CU5" s="111" t="str">
        <f ca="1">RESULTADOS!BY22</f>
        <v>Pasa</v>
      </c>
      <c r="CV5" s="111" t="str">
        <f ca="1">RESULTADOS!BZ22</f>
        <v>N/A</v>
      </c>
      <c r="CW5" s="111" t="str">
        <f ca="1">RESULTADOS!CA22</f>
        <v>N/A</v>
      </c>
      <c r="CX5" s="111" t="str">
        <f ca="1">RESULTADOS!CB22</f>
        <v>N/A</v>
      </c>
      <c r="CY5" s="111" t="str">
        <f ca="1">RESULTADOS!CC22</f>
        <v>N/A</v>
      </c>
      <c r="CZ5" s="111" t="str">
        <f ca="1">RESULTADOS!CD22</f>
        <v>Pasa</v>
      </c>
      <c r="DA5" s="111" t="str">
        <f ca="1">RESULTADOS!CE22</f>
        <v>Pasa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Pasa</v>
      </c>
      <c r="DM5" s="111" t="str">
        <f ca="1">RESULTADOS!CQ22</f>
        <v>Pasa</v>
      </c>
      <c r="DN5" s="111" t="str">
        <f ca="1">RESULTADOS!CR22</f>
        <v>Falla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f>'01.Definición de ámbito'!C17</f>
        <v>0</v>
      </c>
      <c r="E6" s="109" t="s">
        <v>68</v>
      </c>
      <c r="F6" s="112" t="str">
        <f>'02.Tecnologías'!C13</f>
        <v>Sí</v>
      </c>
      <c r="G6" s="112">
        <f>'02.Tecnologías'!K16</f>
        <v>0</v>
      </c>
      <c r="H6" s="112">
        <f>'02.Tecnologías'!L16</f>
        <v>0</v>
      </c>
      <c r="I6" s="162"/>
      <c r="J6" s="162"/>
      <c r="K6" s="109"/>
      <c r="L6" s="109"/>
      <c r="M6" s="109"/>
      <c r="T6" s="113">
        <f>RESULTADOS!B23</f>
        <v>4</v>
      </c>
      <c r="U6" s="113" t="str">
        <f>RESULTADOS!C23</f>
        <v>Comunicación</v>
      </c>
      <c r="V6" s="113" t="str">
        <f t="shared" si="0"/>
        <v>Página web</v>
      </c>
      <c r="W6" s="113" t="str">
        <v>Pagina tipo</v>
      </c>
      <c r="X6" s="113" t="str">
        <f>RESULTADOS!D23</f>
        <v>https://www.comunidad.madrid/hospital/12octubre/comunicación</v>
      </c>
      <c r="Y6" s="113" t="str">
        <v>Home - Comunicación</v>
      </c>
      <c r="Z6" s="188" t="str">
        <v xml:space="preserve"> </v>
      </c>
      <c r="AA6" s="111" t="str">
        <f ca="1">RESULTADOS!E23</f>
        <v>Pasa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Pasa</v>
      </c>
      <c r="BM6" s="111" t="str">
        <f ca="1">RESULTADOS!AQ23</f>
        <v>Falla</v>
      </c>
      <c r="BN6" s="111" t="str">
        <f ca="1">RESULTADOS!AR23</f>
        <v>N/A</v>
      </c>
      <c r="BO6" s="111" t="str">
        <f ca="1">RESULTADOS!AS23</f>
        <v>N/A</v>
      </c>
      <c r="BP6" s="111" t="str">
        <f ca="1">RESULTADOS!AT23</f>
        <v>N/A</v>
      </c>
      <c r="BQ6" s="111" t="str">
        <f ca="1">RESULTADOS!AU23</f>
        <v>N/A</v>
      </c>
      <c r="BR6" s="111" t="str">
        <f ca="1">RESULTADOS!AV23</f>
        <v>Falla</v>
      </c>
      <c r="BS6" s="111" t="str">
        <f ca="1">RESULTADOS!AW23</f>
        <v>Pasa</v>
      </c>
      <c r="BT6" s="111" t="str">
        <f ca="1">RESULTADOS!AX23</f>
        <v>N/A</v>
      </c>
      <c r="BU6" s="111" t="str">
        <f ca="1">RESULTADOS!AY23</f>
        <v>Pasa</v>
      </c>
      <c r="BV6" s="111" t="str">
        <f ca="1">RESULTADOS!AZ23</f>
        <v>Falla</v>
      </c>
      <c r="BW6" s="111" t="str">
        <f ca="1">RESULTADOS!BA23</f>
        <v>Pasa</v>
      </c>
      <c r="BX6" s="111" t="str">
        <f ca="1">RESULTADOS!BB23</f>
        <v>N/A</v>
      </c>
      <c r="BY6" s="111" t="str">
        <f ca="1">RESULTADOS!BC23</f>
        <v>Pasa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Falla</v>
      </c>
      <c r="CH6" s="111" t="str">
        <f ca="1">RESULTADOS!BL23</f>
        <v>Pasa</v>
      </c>
      <c r="CI6" s="111" t="str">
        <f ca="1">RESULTADOS!BM23</f>
        <v>Pasa</v>
      </c>
      <c r="CJ6" s="111" t="str">
        <f ca="1">RESULTADOS!BN23</f>
        <v>Pasa</v>
      </c>
      <c r="CK6" s="111" t="str">
        <f ca="1">RESULTADOS!BO23</f>
        <v>Pasa</v>
      </c>
      <c r="CL6" s="111" t="str">
        <f ca="1">RESULTADOS!BP23</f>
        <v>N/A</v>
      </c>
      <c r="CM6" s="111" t="str">
        <f ca="1">RESULTADOS!BQ23</f>
        <v>N/A</v>
      </c>
      <c r="CN6" s="111" t="str">
        <f ca="1">RESULTADOS!BR23</f>
        <v>Pasa</v>
      </c>
      <c r="CO6" s="111" t="str">
        <f ca="1">RESULTADOS!BS23</f>
        <v>N/A</v>
      </c>
      <c r="CP6" s="111" t="str">
        <f ca="1">RESULTADOS!BT23</f>
        <v>Pasa</v>
      </c>
      <c r="CQ6" s="111" t="str">
        <f ca="1">RESULTADOS!BU23</f>
        <v>N/A</v>
      </c>
      <c r="CR6" s="111" t="str">
        <f ca="1">RESULTADOS!BV23</f>
        <v>Pasa</v>
      </c>
      <c r="CS6" s="111" t="str">
        <f ca="1">RESULTADOS!BW23</f>
        <v>N/A</v>
      </c>
      <c r="CT6" s="111" t="str">
        <f ca="1">RESULTADOS!BX23</f>
        <v>Pasa</v>
      </c>
      <c r="CU6" s="111" t="str">
        <f ca="1">RESULTADOS!BY23</f>
        <v>Pasa</v>
      </c>
      <c r="CV6" s="111" t="str">
        <f ca="1">RESULTADOS!BZ23</f>
        <v>N/A</v>
      </c>
      <c r="CW6" s="111" t="str">
        <f ca="1">RESULTADOS!CA23</f>
        <v>N/A</v>
      </c>
      <c r="CX6" s="111" t="str">
        <f ca="1">RESULTADOS!CB23</f>
        <v>N/A</v>
      </c>
      <c r="CY6" s="111" t="str">
        <f ca="1">RESULTADOS!CC23</f>
        <v>N/A</v>
      </c>
      <c r="CZ6" s="111" t="str">
        <f ca="1">RESULTADOS!CD23</f>
        <v>Pasa</v>
      </c>
      <c r="DA6" s="111" t="str">
        <f ca="1">RESULTADOS!CE23</f>
        <v>Pasa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Pasa</v>
      </c>
      <c r="DM6" s="111" t="str">
        <f ca="1">RESULTADOS!CQ23</f>
        <v>Pasa</v>
      </c>
      <c r="DN6" s="111" t="str">
        <f ca="1">RESULTADOS!CR23</f>
        <v>Falla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f>'01.Definición de ámbito'!C19</f>
        <v>0</v>
      </c>
      <c r="E7" s="109" t="s">
        <v>55</v>
      </c>
      <c r="F7" s="112" t="str">
        <f>'02.Tecnologías'!F9</f>
        <v>No</v>
      </c>
      <c r="G7" s="112">
        <f>'02.Tecnologías'!K17</f>
        <v>0</v>
      </c>
      <c r="H7" s="112">
        <f>'02.Tecnologías'!L17</f>
        <v>0</v>
      </c>
      <c r="I7" s="162"/>
      <c r="J7" s="162"/>
      <c r="K7" s="109"/>
      <c r="L7" s="109"/>
      <c r="M7" s="109"/>
      <c r="T7" s="113">
        <f>RESULTADOS!B24</f>
        <v>5</v>
      </c>
      <c r="U7" s="113" t="str">
        <f>RESULTADOS!C24</f>
        <v>Nosotros</v>
      </c>
      <c r="V7" s="113" t="str">
        <f t="shared" si="0"/>
        <v>Página web</v>
      </c>
      <c r="W7" s="113" t="str">
        <v>Pagina tipo</v>
      </c>
      <c r="X7" s="113" t="str">
        <f>RESULTADOS!D24</f>
        <v>https://www.comunidad.madrid/hospital/12octubre/nosotros</v>
      </c>
      <c r="Y7" s="113" t="str">
        <v>Home - Nosotros</v>
      </c>
      <c r="Z7" s="188">
        <v>0</v>
      </c>
      <c r="AA7" s="111" t="str">
        <f ca="1">RESULTADOS!E24</f>
        <v>Pasa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Pasa</v>
      </c>
      <c r="BM7" s="111" t="str">
        <f ca="1">RESULTADOS!AQ24</f>
        <v>Falla</v>
      </c>
      <c r="BN7" s="111" t="str">
        <f ca="1">RESULTADOS!AR24</f>
        <v>N/A</v>
      </c>
      <c r="BO7" s="111" t="str">
        <f ca="1">RESULTADOS!AS24</f>
        <v>N/A</v>
      </c>
      <c r="BP7" s="111" t="str">
        <f ca="1">RESULTADOS!AT24</f>
        <v>N/A</v>
      </c>
      <c r="BQ7" s="111" t="str">
        <f ca="1">RESULTADOS!AU24</f>
        <v>N/A</v>
      </c>
      <c r="BR7" s="111" t="str">
        <f ca="1">RESULTADOS!AV24</f>
        <v>Falla</v>
      </c>
      <c r="BS7" s="111" t="str">
        <f ca="1">RESULTADOS!AW24</f>
        <v>Pasa</v>
      </c>
      <c r="BT7" s="111" t="str">
        <f ca="1">RESULTADOS!AX24</f>
        <v>N/A</v>
      </c>
      <c r="BU7" s="111" t="str">
        <f ca="1">RESULTADOS!AY24</f>
        <v>Pasa</v>
      </c>
      <c r="BV7" s="111" t="str">
        <f ca="1">RESULTADOS!AZ24</f>
        <v>Falla</v>
      </c>
      <c r="BW7" s="111" t="str">
        <f ca="1">RESULTADOS!BA24</f>
        <v>Pasa</v>
      </c>
      <c r="BX7" s="111" t="str">
        <f ca="1">RESULTADOS!BB24</f>
        <v>N/A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Pasa</v>
      </c>
      <c r="CL7" s="111" t="str">
        <f ca="1">RESULTADOS!BP24</f>
        <v>N/A</v>
      </c>
      <c r="CM7" s="111" t="str">
        <f ca="1">RESULTADOS!BQ24</f>
        <v>N/A</v>
      </c>
      <c r="CN7" s="111" t="str">
        <f ca="1">RESULTADOS!BR24</f>
        <v>Pasa</v>
      </c>
      <c r="CO7" s="111" t="str">
        <f ca="1">RESULTADOS!BS24</f>
        <v>N/A</v>
      </c>
      <c r="CP7" s="111" t="str">
        <f ca="1">RESULTADOS!BT24</f>
        <v>Pasa</v>
      </c>
      <c r="CQ7" s="111" t="str">
        <f ca="1">RESULTADOS!BU24</f>
        <v>N/A</v>
      </c>
      <c r="CR7" s="111" t="str">
        <f ca="1">RESULTADOS!BV24</f>
        <v>Pasa</v>
      </c>
      <c r="CS7" s="111" t="str">
        <f ca="1">RESULTADOS!BW24</f>
        <v>N/A</v>
      </c>
      <c r="CT7" s="111" t="str">
        <f ca="1">RESULTADOS!BX24</f>
        <v>Pasa</v>
      </c>
      <c r="CU7" s="111" t="str">
        <f ca="1">RESULTADOS!BY24</f>
        <v>Pasa</v>
      </c>
      <c r="CV7" s="111" t="str">
        <f ca="1">RESULTADOS!BZ24</f>
        <v>N/A</v>
      </c>
      <c r="CW7" s="111" t="str">
        <f ca="1">RESULTADOS!CA24</f>
        <v>N/A</v>
      </c>
      <c r="CX7" s="111" t="str">
        <f ca="1">RESULTADOS!CB24</f>
        <v>N/A</v>
      </c>
      <c r="CY7" s="111" t="str">
        <f ca="1">RESULTADOS!CC24</f>
        <v>N/A</v>
      </c>
      <c r="CZ7" s="111" t="str">
        <f ca="1">RESULTADOS!CD24</f>
        <v>Pasa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Pasa</v>
      </c>
      <c r="DM7" s="111" t="str">
        <f ca="1">RESULTADOS!CQ24</f>
        <v>Pasa</v>
      </c>
      <c r="DN7" s="111" t="str">
        <f ca="1">RESULTADOS!CR24</f>
        <v>Falla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f>'01.Definición de ámbito'!C21</f>
        <v>0</v>
      </c>
      <c r="E8" s="109" t="s">
        <v>58</v>
      </c>
      <c r="F8" s="112" t="str">
        <f>'02.Tecnologías'!F10</f>
        <v>No</v>
      </c>
      <c r="G8" s="112">
        <f>'02.Tecnologías'!K18</f>
        <v>0</v>
      </c>
      <c r="H8" s="112">
        <f>'02.Tecnologías'!L18</f>
        <v>0</v>
      </c>
      <c r="I8" s="162"/>
      <c r="J8" s="162"/>
      <c r="K8" s="109"/>
      <c r="L8" s="109"/>
      <c r="M8" s="109"/>
      <c r="T8" s="113">
        <f>RESULTADOS!B25</f>
        <v>6</v>
      </c>
      <c r="U8" s="113" t="str">
        <f>RESULTADOS!C25</f>
        <v>Centros de especialidades</v>
      </c>
      <c r="V8" s="113" t="str">
        <f t="shared" si="0"/>
        <v>Página web</v>
      </c>
      <c r="W8" s="113" t="str">
        <v>Aleatoria</v>
      </c>
      <c r="X8" s="113" t="str">
        <f>RESULTADOS!D25</f>
        <v>https://www.comunidad.madrid/hospital/12octubre/nosotros/centros-especialidades-perifericos</v>
      </c>
      <c r="Y8" s="113" t="str">
        <v>Home - Centros de especialidades</v>
      </c>
      <c r="Z8" s="188">
        <v>0</v>
      </c>
      <c r="AA8" s="111" t="str">
        <f ca="1">RESULTADOS!E25</f>
        <v>Pasa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Falla</v>
      </c>
      <c r="BL8" s="111" t="str">
        <f ca="1">RESULTADOS!AP25</f>
        <v>Pasa</v>
      </c>
      <c r="BM8" s="111" t="str">
        <f ca="1">RESULTADOS!AQ25</f>
        <v>Falla</v>
      </c>
      <c r="BN8" s="111" t="str">
        <f ca="1">RESULTADOS!AR25</f>
        <v>N/A</v>
      </c>
      <c r="BO8" s="111" t="str">
        <f ca="1">RESULTADOS!AS25</f>
        <v>N/A</v>
      </c>
      <c r="BP8" s="111" t="str">
        <f ca="1">RESULTADOS!AT25</f>
        <v>N/A</v>
      </c>
      <c r="BQ8" s="111" t="str">
        <f ca="1">RESULTADOS!AU25</f>
        <v>N/A</v>
      </c>
      <c r="BR8" s="111" t="str">
        <f ca="1">RESULTADOS!AV25</f>
        <v>Pasa</v>
      </c>
      <c r="BS8" s="111" t="str">
        <f ca="1">RESULTADOS!AW25</f>
        <v>Pasa</v>
      </c>
      <c r="BT8" s="111" t="str">
        <f ca="1">RESULTADOS!AX25</f>
        <v>N/A</v>
      </c>
      <c r="BU8" s="111" t="str">
        <f ca="1">RESULTADOS!AY25</f>
        <v>Pasa</v>
      </c>
      <c r="BV8" s="111" t="str">
        <f ca="1">RESULTADOS!AZ25</f>
        <v>Pasa</v>
      </c>
      <c r="BW8" s="111" t="str">
        <f ca="1">RESULTADOS!BA25</f>
        <v>Pasa</v>
      </c>
      <c r="BX8" s="111" t="str">
        <f ca="1">RESULTADOS!BB25</f>
        <v>N/A</v>
      </c>
      <c r="BY8" s="111" t="str">
        <f ca="1">RESULTADOS!BC25</f>
        <v>Pasa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Falla</v>
      </c>
      <c r="CH8" s="111" t="str">
        <f ca="1">RESULTADOS!BL25</f>
        <v>Pasa</v>
      </c>
      <c r="CI8" s="111" t="str">
        <f ca="1">RESULTADOS!BM25</f>
        <v>Pasa</v>
      </c>
      <c r="CJ8" s="111" t="str">
        <f ca="1">RESULTADOS!BN25</f>
        <v>Pasa</v>
      </c>
      <c r="CK8" s="111" t="str">
        <f ca="1">RESULTADOS!BO25</f>
        <v>Pasa</v>
      </c>
      <c r="CL8" s="111" t="str">
        <f ca="1">RESULTADOS!BP25</f>
        <v>N/A</v>
      </c>
      <c r="CM8" s="111" t="str">
        <f ca="1">RESULTADOS!BQ25</f>
        <v>N/A</v>
      </c>
      <c r="CN8" s="111" t="str">
        <f ca="1">RESULTADOS!BR25</f>
        <v>Pasa</v>
      </c>
      <c r="CO8" s="111" t="str">
        <f ca="1">RESULTADOS!BS25</f>
        <v>N/A</v>
      </c>
      <c r="CP8" s="111" t="str">
        <f ca="1">RESULTADOS!BT25</f>
        <v>Pasa</v>
      </c>
      <c r="CQ8" s="111" t="str">
        <f ca="1">RESULTADOS!BU25</f>
        <v>N/A</v>
      </c>
      <c r="CR8" s="111" t="str">
        <f ca="1">RESULTADOS!BV25</f>
        <v>Pasa</v>
      </c>
      <c r="CS8" s="111" t="str">
        <f ca="1">RESULTADOS!BW25</f>
        <v>N/A</v>
      </c>
      <c r="CT8" s="111" t="str">
        <f ca="1">RESULTADOS!BX25</f>
        <v>Pasa</v>
      </c>
      <c r="CU8" s="111" t="str">
        <f ca="1">RESULTADOS!BY25</f>
        <v>Pasa</v>
      </c>
      <c r="CV8" s="111" t="str">
        <f ca="1">RESULTADOS!BZ25</f>
        <v>N/A</v>
      </c>
      <c r="CW8" s="111" t="str">
        <f ca="1">RESULTADOS!CA25</f>
        <v>N/A</v>
      </c>
      <c r="CX8" s="111" t="str">
        <f ca="1">RESULTADOS!CB25</f>
        <v>N/A</v>
      </c>
      <c r="CY8" s="111" t="str">
        <f ca="1">RESULTADOS!CC25</f>
        <v>N/A</v>
      </c>
      <c r="CZ8" s="111" t="str">
        <f ca="1">RESULTADOS!CD25</f>
        <v>Pasa</v>
      </c>
      <c r="DA8" s="111" t="str">
        <f ca="1">RESULTADOS!CE25</f>
        <v>Falla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Pasa</v>
      </c>
      <c r="DM8" s="111" t="str">
        <f ca="1">RESULTADOS!CQ25</f>
        <v>Pasa</v>
      </c>
      <c r="DN8" s="111" t="str">
        <f ca="1">RESULTADOS!CR25</f>
        <v>Falla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61</v>
      </c>
      <c r="F9" s="112" t="str">
        <f>'02.Tecnologías'!F11</f>
        <v>No</v>
      </c>
      <c r="G9" s="112">
        <f>'02.Tecnologías'!K19</f>
        <v>0</v>
      </c>
      <c r="H9" s="112">
        <f>'02.Tecnologías'!L19</f>
        <v>0</v>
      </c>
      <c r="I9" s="162"/>
      <c r="J9" s="162"/>
      <c r="K9" s="109"/>
      <c r="L9" s="109"/>
      <c r="M9" s="109"/>
      <c r="T9" s="113">
        <f>RESULTADOS!B26</f>
        <v>7</v>
      </c>
      <c r="U9" s="113" t="str">
        <f>RESULTADOS!C26</f>
        <v>Canal solidario</v>
      </c>
      <c r="V9" s="113" t="str">
        <f t="shared" si="0"/>
        <v>Página web</v>
      </c>
      <c r="W9" s="113" t="str">
        <v>Aleatoria</v>
      </c>
      <c r="X9" s="113" t="str">
        <f>RESULTADOS!D26</f>
        <v>https://www.comunidad.madrid/hospital/12octubre/ciudadanos/canal-solidario</v>
      </c>
      <c r="Y9" s="113" t="str">
        <v>Home - Canal Solidario</v>
      </c>
      <c r="Z9" s="188">
        <v>0</v>
      </c>
      <c r="AA9" s="111" t="str">
        <f ca="1">RESULTADOS!E26</f>
        <v>Pasa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Pasa</v>
      </c>
      <c r="BL9" s="111" t="str">
        <f ca="1">RESULTADOS!AP26</f>
        <v>Pasa</v>
      </c>
      <c r="BM9" s="111" t="str">
        <f ca="1">RESULTADOS!AQ26</f>
        <v>Falla</v>
      </c>
      <c r="BN9" s="111" t="str">
        <f ca="1">RESULTADOS!AR26</f>
        <v>N/A</v>
      </c>
      <c r="BO9" s="111" t="str">
        <f ca="1">RESULTADOS!AS26</f>
        <v>N/A</v>
      </c>
      <c r="BP9" s="111" t="str">
        <f ca="1">RESULTADOS!AT26</f>
        <v>N/A</v>
      </c>
      <c r="BQ9" s="111" t="str">
        <f ca="1">RESULTADOS!AU26</f>
        <v>N/A</v>
      </c>
      <c r="BR9" s="111" t="str">
        <f ca="1">RESULTADOS!AV26</f>
        <v>Pasa</v>
      </c>
      <c r="BS9" s="111" t="str">
        <f ca="1">RESULTADOS!AW26</f>
        <v>Pasa</v>
      </c>
      <c r="BT9" s="111" t="str">
        <f ca="1">RESULTADOS!AX26</f>
        <v>N/A</v>
      </c>
      <c r="BU9" s="111" t="str">
        <f ca="1">RESULTADOS!AY26</f>
        <v>Pasa</v>
      </c>
      <c r="BV9" s="111" t="str">
        <f ca="1">RESULTADOS!AZ26</f>
        <v>Pasa</v>
      </c>
      <c r="BW9" s="111" t="str">
        <f ca="1">RESULTADOS!BA26</f>
        <v>Pasa</v>
      </c>
      <c r="BX9" s="111" t="str">
        <f ca="1">RESULTADOS!BB26</f>
        <v>N/A</v>
      </c>
      <c r="BY9" s="111" t="str">
        <f ca="1">RESULTADOS!BC26</f>
        <v>Pasa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Falla</v>
      </c>
      <c r="CH9" s="111" t="str">
        <f ca="1">RESULTADOS!BL26</f>
        <v>Pasa</v>
      </c>
      <c r="CI9" s="111" t="str">
        <f ca="1">RESULTADOS!BM26</f>
        <v>Pasa</v>
      </c>
      <c r="CJ9" s="111" t="str">
        <f ca="1">RESULTADOS!BN26</f>
        <v>Pasa</v>
      </c>
      <c r="CK9" s="111" t="str">
        <f ca="1">RESULTADOS!BO26</f>
        <v>Pasa</v>
      </c>
      <c r="CL9" s="111" t="str">
        <f ca="1">RESULTADOS!BP26</f>
        <v>N/A</v>
      </c>
      <c r="CM9" s="111" t="str">
        <f ca="1">RESULTADOS!BQ26</f>
        <v>N/A</v>
      </c>
      <c r="CN9" s="111" t="str">
        <f ca="1">RESULTADOS!BR26</f>
        <v>Pasa</v>
      </c>
      <c r="CO9" s="111" t="str">
        <f ca="1">RESULTADOS!BS26</f>
        <v>N/A</v>
      </c>
      <c r="CP9" s="111" t="str">
        <f ca="1">RESULTADOS!BT26</f>
        <v>Pasa</v>
      </c>
      <c r="CQ9" s="111" t="str">
        <f ca="1">RESULTADOS!BU26</f>
        <v>N/A</v>
      </c>
      <c r="CR9" s="111" t="str">
        <f ca="1">RESULTADOS!BV26</f>
        <v>Pasa</v>
      </c>
      <c r="CS9" s="111" t="str">
        <f ca="1">RESULTADOS!BW26</f>
        <v>N/A</v>
      </c>
      <c r="CT9" s="111" t="str">
        <f ca="1">RESULTADOS!BX26</f>
        <v>Pasa</v>
      </c>
      <c r="CU9" s="111" t="str">
        <f ca="1">RESULTADOS!BY26</f>
        <v>Pasa</v>
      </c>
      <c r="CV9" s="111" t="str">
        <f ca="1">RESULTADOS!BZ26</f>
        <v>N/A</v>
      </c>
      <c r="CW9" s="111" t="str">
        <f ca="1">RESULTADOS!CA26</f>
        <v>N/A</v>
      </c>
      <c r="CX9" s="111" t="str">
        <f ca="1">RESULTADOS!CB26</f>
        <v>N/A</v>
      </c>
      <c r="CY9" s="111" t="str">
        <f ca="1">RESULTADOS!CC26</f>
        <v>N/A</v>
      </c>
      <c r="CZ9" s="111" t="str">
        <f ca="1">RESULTADOS!CD26</f>
        <v>Pasa</v>
      </c>
      <c r="DA9" s="111" t="str">
        <f ca="1">RESULTADOS!CE26</f>
        <v>Pasa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Pasa</v>
      </c>
      <c r="DM9" s="111" t="str">
        <f ca="1">RESULTADOS!CQ26</f>
        <v>Pasa</v>
      </c>
      <c r="DN9" s="111" t="str">
        <f ca="1">RESULTADOS!CR26</f>
        <v>Falla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22</v>
      </c>
      <c r="D10" s="112" t="str">
        <f>'01.Definición de ámbito'!C27</f>
        <v>Hospital universitario 12 de Octubre</v>
      </c>
      <c r="E10" s="109" t="s">
        <v>64</v>
      </c>
      <c r="F10" s="112" t="str">
        <f>'02.Tecnologías'!F12</f>
        <v>No</v>
      </c>
      <c r="G10" s="112">
        <f>'02.Tecnologías'!K20</f>
        <v>0</v>
      </c>
      <c r="H10" s="112">
        <f>'02.Tecnologías'!L20</f>
        <v>0</v>
      </c>
      <c r="I10" s="162"/>
      <c r="J10" s="162"/>
      <c r="K10" s="109" t="s">
        <v>471</v>
      </c>
      <c r="L10" s="109"/>
      <c r="M10" s="109"/>
      <c r="T10" s="113">
        <f>RESULTADOS!B27</f>
        <v>8</v>
      </c>
      <c r="U10" s="113" t="str">
        <f>RESULTADOS!C27</f>
        <v>Aniversario</v>
      </c>
      <c r="V10" s="113" t="str">
        <f t="shared" si="0"/>
        <v>Página web</v>
      </c>
      <c r="W10" s="113" t="str">
        <v>Pagina tipo</v>
      </c>
      <c r="X10" s="113" t="str">
        <f>RESULTADOS!D27</f>
        <v>https://www.comunidad.madrid/hospital/12octubre/50-aniversario</v>
      </c>
      <c r="Y10" s="113" t="str">
        <v>Home - 50 Aniversario</v>
      </c>
      <c r="Z10" s="188" t="str">
        <v>Vídeo</v>
      </c>
      <c r="AA10" s="111" t="str">
        <f ca="1">RESULTADOS!E27</f>
        <v>Pasa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Pasa</v>
      </c>
      <c r="AX10" s="111" t="str">
        <f ca="1">RESULTADOS!AB27</f>
        <v>Pasa</v>
      </c>
      <c r="AY10" s="111" t="str">
        <f ca="1">RESULTADOS!AC27</f>
        <v>Pasa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Pasa</v>
      </c>
      <c r="BI10" s="111" t="str">
        <f ca="1">RESULTADOS!AM27</f>
        <v>N/A</v>
      </c>
      <c r="BJ10" s="111" t="str">
        <f ca="1">RESULTADOS!AN27</f>
        <v>N/A</v>
      </c>
      <c r="BK10" s="111" t="str">
        <f ca="1">RESULTADOS!AO27</f>
        <v>Pasa</v>
      </c>
      <c r="BL10" s="111" t="str">
        <f ca="1">RESULTADOS!AP27</f>
        <v>Pasa</v>
      </c>
      <c r="BM10" s="111" t="str">
        <f ca="1">RESULTADOS!AQ27</f>
        <v>Falla</v>
      </c>
      <c r="BN10" s="111" t="str">
        <f ca="1">RESULTADOS!AR27</f>
        <v>N/A</v>
      </c>
      <c r="BO10" s="111" t="str">
        <f ca="1">RESULTADOS!AS27</f>
        <v>N/A</v>
      </c>
      <c r="BP10" s="111" t="str">
        <f ca="1">RESULTADOS!AT27</f>
        <v>N/A</v>
      </c>
      <c r="BQ10" s="111" t="str">
        <f ca="1">RESULTADOS!AU27</f>
        <v>N/A</v>
      </c>
      <c r="BR10" s="111" t="str">
        <f ca="1">RESULTADOS!AV27</f>
        <v>Pasa</v>
      </c>
      <c r="BS10" s="111" t="str">
        <f ca="1">RESULTADOS!AW27</f>
        <v>Pasa</v>
      </c>
      <c r="BT10" s="111" t="str">
        <f ca="1">RESULTADOS!AX27</f>
        <v>N/A</v>
      </c>
      <c r="BU10" s="111" t="str">
        <f ca="1">RESULTADOS!AY27</f>
        <v>Pasa</v>
      </c>
      <c r="BV10" s="111" t="str">
        <f ca="1">RESULTADOS!AZ27</f>
        <v>Pasa</v>
      </c>
      <c r="BW10" s="111" t="str">
        <f ca="1">RESULTADOS!BA27</f>
        <v>Pasa</v>
      </c>
      <c r="BX10" s="111" t="str">
        <f ca="1">RESULTADOS!BB27</f>
        <v>N/A</v>
      </c>
      <c r="BY10" s="111" t="str">
        <f ca="1">RESULTADOS!BC27</f>
        <v>Pasa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Falla</v>
      </c>
      <c r="CH10" s="111" t="str">
        <f ca="1">RESULTADOS!BL27</f>
        <v>Pasa</v>
      </c>
      <c r="CI10" s="111" t="str">
        <f ca="1">RESULTADOS!BM27</f>
        <v>Pasa</v>
      </c>
      <c r="CJ10" s="111" t="str">
        <f ca="1">RESULTADOS!BN27</f>
        <v>Pasa</v>
      </c>
      <c r="CK10" s="111" t="str">
        <f ca="1">RESULTADOS!BO27</f>
        <v>Pasa</v>
      </c>
      <c r="CL10" s="111" t="str">
        <f ca="1">RESULTADOS!BP27</f>
        <v>N/A</v>
      </c>
      <c r="CM10" s="111" t="str">
        <f ca="1">RESULTADOS!BQ27</f>
        <v>N/A</v>
      </c>
      <c r="CN10" s="111" t="str">
        <f ca="1">RESULTADOS!BR27</f>
        <v>Pasa</v>
      </c>
      <c r="CO10" s="111" t="str">
        <f ca="1">RESULTADOS!BS27</f>
        <v>N/A</v>
      </c>
      <c r="CP10" s="111" t="str">
        <f ca="1">RESULTADOS!BT27</f>
        <v>Pasa</v>
      </c>
      <c r="CQ10" s="111" t="str">
        <f ca="1">RESULTADOS!BU27</f>
        <v>N/A</v>
      </c>
      <c r="CR10" s="111" t="str">
        <f ca="1">RESULTADOS!BV27</f>
        <v>Pasa</v>
      </c>
      <c r="CS10" s="111" t="str">
        <f ca="1">RESULTADOS!BW27</f>
        <v>N/A</v>
      </c>
      <c r="CT10" s="111" t="str">
        <f ca="1">RESULTADOS!BX27</f>
        <v>Pasa</v>
      </c>
      <c r="CU10" s="111" t="str">
        <f ca="1">RESULTADOS!BY27</f>
        <v>Pasa</v>
      </c>
      <c r="CV10" s="111" t="str">
        <f ca="1">RESULTADOS!BZ27</f>
        <v>N/A</v>
      </c>
      <c r="CW10" s="111" t="str">
        <f ca="1">RESULTADOS!CA27</f>
        <v>N/A</v>
      </c>
      <c r="CX10" s="111" t="str">
        <f ca="1">RESULTADOS!CB27</f>
        <v>N/A</v>
      </c>
      <c r="CY10" s="111" t="str">
        <f ca="1">RESULTADOS!CC27</f>
        <v>N/A</v>
      </c>
      <c r="CZ10" s="111" t="str">
        <f ca="1">RESULTADOS!CD27</f>
        <v>Pasa</v>
      </c>
      <c r="DA10" s="111" t="str">
        <f ca="1">RESULTADOS!CE27</f>
        <v>Pasa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Falla</v>
      </c>
      <c r="DL10" s="111" t="str">
        <f ca="1">RESULTADOS!CP27</f>
        <v>Pasa</v>
      </c>
      <c r="DM10" s="111" t="str">
        <f ca="1">RESULTADOS!CQ27</f>
        <v>Pasa</v>
      </c>
      <c r="DN10" s="111" t="str">
        <f ca="1">RESULTADOS!CR27</f>
        <v>Falla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23</v>
      </c>
      <c r="D11" s="112" t="str">
        <f>'01.Definición de ámbito'!C29</f>
        <v>https://www.comunidad.madrid/hospital/12octubre/</v>
      </c>
      <c r="E11" s="109" t="s">
        <v>69</v>
      </c>
      <c r="F11" s="112" t="str">
        <f>'02.Tecnologías'!F13</f>
        <v>No</v>
      </c>
      <c r="G11" s="112">
        <f>'02.Tecnologías'!K21</f>
        <v>0</v>
      </c>
      <c r="H11" s="112">
        <f>'02.Tecnologías'!L21</f>
        <v>0</v>
      </c>
      <c r="I11" s="162"/>
      <c r="J11" s="162"/>
      <c r="K11" s="109" t="s">
        <v>252</v>
      </c>
      <c r="L11" s="109"/>
      <c r="M11" s="109"/>
      <c r="N11" s="109"/>
      <c r="O11" s="109"/>
      <c r="P11" s="109"/>
      <c r="T11" s="113">
        <f>RESULTADOS!B28</f>
        <v>9</v>
      </c>
      <c r="U11" s="113" t="str">
        <f>RESULTADOS!C28</f>
        <v>Accesibilidad</v>
      </c>
      <c r="V11" s="113" t="str">
        <f t="shared" si="0"/>
        <v>Página web</v>
      </c>
      <c r="W11" s="113" t="str">
        <v>Declaración accesibilidad</v>
      </c>
      <c r="X11" s="113" t="str">
        <f>RESULTADOS!D28</f>
        <v>https://www.comunidad.madrid/hospital/12octubre/declaracion-accesibilidad</v>
      </c>
      <c r="Y11" s="113" t="str">
        <v>Home - Foot -  Accesibilidad</v>
      </c>
      <c r="Z11" s="188">
        <v>0</v>
      </c>
      <c r="AA11" s="111" t="str">
        <f ca="1">RESULTADOS!E28</f>
        <v>Pasa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Falla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Pasa</v>
      </c>
      <c r="BL11" s="111" t="str">
        <f ca="1">RESULTADOS!AP28</f>
        <v>Pasa</v>
      </c>
      <c r="BM11" s="111" t="str">
        <f ca="1">RESULTADOS!AQ28</f>
        <v>Falla</v>
      </c>
      <c r="BN11" s="111" t="str">
        <f ca="1">RESULTADOS!AR28</f>
        <v>N/A</v>
      </c>
      <c r="BO11" s="111" t="str">
        <f ca="1">RESULTADOS!AS28</f>
        <v>N/A</v>
      </c>
      <c r="BP11" s="111" t="str">
        <f ca="1">RESULTADOS!AT28</f>
        <v>N/A</v>
      </c>
      <c r="BQ11" s="111" t="str">
        <f ca="1">RESULTADOS!AU28</f>
        <v>N/A</v>
      </c>
      <c r="BR11" s="111" t="str">
        <f ca="1">RESULTADOS!AV28</f>
        <v>Pasa</v>
      </c>
      <c r="BS11" s="111" t="str">
        <f ca="1">RESULTADOS!AW28</f>
        <v>Pasa</v>
      </c>
      <c r="BT11" s="111" t="str">
        <f ca="1">RESULTADOS!AX28</f>
        <v>N/A</v>
      </c>
      <c r="BU11" s="111" t="str">
        <f ca="1">RESULTADOS!AY28</f>
        <v>Pasa</v>
      </c>
      <c r="BV11" s="111" t="str">
        <f ca="1">RESULTADOS!AZ28</f>
        <v>Pasa</v>
      </c>
      <c r="BW11" s="111" t="str">
        <f ca="1">RESULTADOS!BA28</f>
        <v>Pasa</v>
      </c>
      <c r="BX11" s="111" t="str">
        <f ca="1">RESULTADOS!BB28</f>
        <v>N/A</v>
      </c>
      <c r="BY11" s="111" t="str">
        <f ca="1">RESULTADOS!BC28</f>
        <v>Pasa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Falla</v>
      </c>
      <c r="CH11" s="111" t="str">
        <f ca="1">RESULTADOS!BL28</f>
        <v>Pasa</v>
      </c>
      <c r="CI11" s="111" t="str">
        <f ca="1">RESULTADOS!BM28</f>
        <v>Pasa</v>
      </c>
      <c r="CJ11" s="111" t="str">
        <f ca="1">RESULTADOS!BN28</f>
        <v>Pasa</v>
      </c>
      <c r="CK11" s="111" t="str">
        <f ca="1">RESULTADOS!BO28</f>
        <v>Pasa</v>
      </c>
      <c r="CL11" s="111" t="str">
        <f ca="1">RESULTADOS!BP28</f>
        <v>N/A</v>
      </c>
      <c r="CM11" s="111" t="str">
        <f ca="1">RESULTADOS!BQ28</f>
        <v>N/A</v>
      </c>
      <c r="CN11" s="111" t="str">
        <f ca="1">RESULTADOS!BR28</f>
        <v>Pasa</v>
      </c>
      <c r="CO11" s="111" t="str">
        <f ca="1">RESULTADOS!BS28</f>
        <v>N/A</v>
      </c>
      <c r="CP11" s="111" t="str">
        <f ca="1">RESULTADOS!BT28</f>
        <v>Pasa</v>
      </c>
      <c r="CQ11" s="111" t="str">
        <f ca="1">RESULTADOS!BU28</f>
        <v>N/A</v>
      </c>
      <c r="CR11" s="111" t="str">
        <f ca="1">RESULTADOS!BV28</f>
        <v>Pasa</v>
      </c>
      <c r="CS11" s="111" t="str">
        <f ca="1">RESULTADOS!BW28</f>
        <v>N/A</v>
      </c>
      <c r="CT11" s="111" t="str">
        <f ca="1">RESULTADOS!BX28</f>
        <v>Pasa</v>
      </c>
      <c r="CU11" s="111" t="str">
        <f ca="1">RESULTADOS!BY28</f>
        <v>Pasa</v>
      </c>
      <c r="CV11" s="111" t="str">
        <f ca="1">RESULTADOS!BZ28</f>
        <v>N/A</v>
      </c>
      <c r="CW11" s="111" t="str">
        <f ca="1">RESULTADOS!CA28</f>
        <v>N/A</v>
      </c>
      <c r="CX11" s="111" t="str">
        <f ca="1">RESULTADOS!CB28</f>
        <v>N/A</v>
      </c>
      <c r="CY11" s="111" t="str">
        <f ca="1">RESULTADOS!CC28</f>
        <v>N/A</v>
      </c>
      <c r="CZ11" s="111" t="str">
        <f ca="1">RESULTADOS!CD28</f>
        <v>Pasa</v>
      </c>
      <c r="DA11" s="111" t="str">
        <f ca="1">RESULTADOS!CE28</f>
        <v>Pasa</v>
      </c>
      <c r="DB11" s="111" t="str">
        <f ca="1">RESULTADOS!CF28</f>
        <v>N/A</v>
      </c>
      <c r="DC11" s="111" t="str">
        <f ca="1">RESULTADOS!CG28</f>
        <v>Falla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Pasa</v>
      </c>
      <c r="DK11" s="111" t="str">
        <f ca="1">RESULTADOS!CO28</f>
        <v>Falla</v>
      </c>
      <c r="DL11" s="111" t="str">
        <f ca="1">RESULTADOS!CP28</f>
        <v>Pasa</v>
      </c>
      <c r="DM11" s="111" t="str">
        <f ca="1">RESULTADOS!CQ28</f>
        <v>Pasa</v>
      </c>
      <c r="DN11" s="111" t="str">
        <f ca="1">RESULTADOS!CR28</f>
        <v>Falla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24</v>
      </c>
      <c r="D12" s="112" t="str">
        <f>'01.Definición de ámbito'!C31</f>
        <v>Se revisan las páginas del dominio</v>
      </c>
      <c r="E12" s="109" t="s">
        <v>56</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t="str">
        <f>RESULTADOS!B29</f>
        <v/>
      </c>
      <c r="U12" s="113" t="str">
        <f>RESULTADOS!C29</f>
        <v/>
      </c>
      <c r="V12" s="113" t="str">
        <f t="shared" si="0"/>
        <v/>
      </c>
      <c r="W12" s="113" t="str">
        <v/>
      </c>
      <c r="X12" s="113" t="str">
        <f>RESULTADOS!D29</f>
        <v/>
      </c>
      <c r="Y12" s="113" t="str">
        <v/>
      </c>
      <c r="Z12" s="188" t="str">
        <v/>
      </c>
      <c r="AA12" s="111" t="str">
        <f ca="1">RESULTADOS!E29</f>
        <v/>
      </c>
      <c r="AB12" s="111" t="str">
        <f ca="1">RESULTADOS!F29</f>
        <v/>
      </c>
      <c r="AC12" s="111" t="str">
        <f ca="1">RESULTADOS!G29</f>
        <v/>
      </c>
      <c r="AD12" s="111" t="str">
        <f ca="1">RESULTADOS!H29</f>
        <v/>
      </c>
      <c r="AE12" s="111" t="str">
        <f ca="1">RESULTADOS!I29</f>
        <v/>
      </c>
      <c r="AF12" s="111" t="str">
        <f ca="1">RESULTADOS!J29</f>
        <v/>
      </c>
      <c r="AG12" s="111" t="str">
        <f ca="1">RESULTADOS!K29</f>
        <v/>
      </c>
      <c r="AH12" s="111" t="str">
        <f ca="1">RESULTADOS!L29</f>
        <v/>
      </c>
      <c r="AI12" s="111" t="str">
        <f ca="1">RESULTADOS!M29</f>
        <v/>
      </c>
      <c r="AJ12" s="111" t="str">
        <f ca="1">RESULTADOS!N29</f>
        <v/>
      </c>
      <c r="AK12" s="111" t="str">
        <f ca="1">RESULTADOS!O29</f>
        <v/>
      </c>
      <c r="AL12" s="111" t="str">
        <f ca="1">RESULTADOS!P29</f>
        <v/>
      </c>
      <c r="AM12" s="111" t="str">
        <f ca="1">RESULTADOS!Q29</f>
        <v/>
      </c>
      <c r="AN12" s="111" t="str">
        <f ca="1">RESULTADOS!R29</f>
        <v/>
      </c>
      <c r="AO12" s="111" t="str">
        <f ca="1">RESULTADOS!S29</f>
        <v/>
      </c>
      <c r="AP12" s="111" t="str">
        <f ca="1">RESULTADOS!T29</f>
        <v/>
      </c>
      <c r="AQ12" s="111" t="str">
        <f ca="1">RESULTADOS!U29</f>
        <v/>
      </c>
      <c r="AR12" s="111" t="str">
        <f ca="1">RESULTADOS!V29</f>
        <v/>
      </c>
      <c r="AS12" s="111" t="str">
        <f ca="1">RESULTADOS!W29</f>
        <v/>
      </c>
      <c r="AT12" s="111" t="str">
        <f ca="1">RESULTADOS!X29</f>
        <v/>
      </c>
      <c r="AU12" s="111" t="str">
        <f ca="1">RESULTADOS!Y29</f>
        <v/>
      </c>
      <c r="AV12" s="111" t="str">
        <f ca="1">RESULTADOS!Z29</f>
        <v/>
      </c>
      <c r="AW12" s="111" t="str">
        <f ca="1">RESULTADOS!AA29</f>
        <v/>
      </c>
      <c r="AX12" s="111" t="str">
        <f ca="1">RESULTADOS!AB29</f>
        <v/>
      </c>
      <c r="AY12" s="111" t="str">
        <f ca="1">RESULTADOS!AC29</f>
        <v/>
      </c>
      <c r="AZ12" s="111" t="str">
        <f ca="1">RESULTADOS!AD29</f>
        <v/>
      </c>
      <c r="BA12" s="111" t="str">
        <f ca="1">RESULTADOS!AE29</f>
        <v/>
      </c>
      <c r="BB12" s="111" t="str">
        <f ca="1">RESULTADOS!AF29</f>
        <v/>
      </c>
      <c r="BC12" s="111" t="str">
        <f ca="1">RESULTADOS!AG29</f>
        <v/>
      </c>
      <c r="BD12" s="111" t="str">
        <f ca="1">RESULTADOS!AH29</f>
        <v/>
      </c>
      <c r="BE12" s="111" t="str">
        <f ca="1">RESULTADOS!AI29</f>
        <v/>
      </c>
      <c r="BF12" s="111" t="str">
        <f ca="1">RESULTADOS!AJ29</f>
        <v/>
      </c>
      <c r="BG12" s="111" t="str">
        <f ca="1">RESULTADOS!AK29</f>
        <v/>
      </c>
      <c r="BH12" s="111" t="str">
        <f ca="1">RESULTADOS!AL29</f>
        <v/>
      </c>
      <c r="BI12" s="111" t="str">
        <f ca="1">RESULTADOS!AM29</f>
        <v/>
      </c>
      <c r="BJ12" s="111" t="str">
        <f ca="1">RESULTADOS!AN29</f>
        <v/>
      </c>
      <c r="BK12" s="111" t="str">
        <f ca="1">RESULTADOS!AO29</f>
        <v/>
      </c>
      <c r="BL12" s="111" t="str">
        <f ca="1">RESULTADOS!AP29</f>
        <v/>
      </c>
      <c r="BM12" s="111" t="str">
        <f ca="1">RESULTADOS!AQ29</f>
        <v/>
      </c>
      <c r="BN12" s="111" t="str">
        <f ca="1">RESULTADOS!AR29</f>
        <v/>
      </c>
      <c r="BO12" s="111" t="str">
        <f ca="1">RESULTADOS!AS29</f>
        <v/>
      </c>
      <c r="BP12" s="111" t="str">
        <f ca="1">RESULTADOS!AT29</f>
        <v/>
      </c>
      <c r="BQ12" s="111" t="str">
        <f ca="1">RESULTADOS!AU29</f>
        <v/>
      </c>
      <c r="BR12" s="111" t="str">
        <f ca="1">RESULTADOS!AV29</f>
        <v/>
      </c>
      <c r="BS12" s="111" t="str">
        <f ca="1">RESULTADOS!AW29</f>
        <v/>
      </c>
      <c r="BT12" s="111" t="str">
        <f ca="1">RESULTADOS!AX29</f>
        <v/>
      </c>
      <c r="BU12" s="111" t="str">
        <f ca="1">RESULTADOS!AY29</f>
        <v/>
      </c>
      <c r="BV12" s="111" t="str">
        <f ca="1">RESULTADOS!AZ29</f>
        <v/>
      </c>
      <c r="BW12" s="111" t="str">
        <f ca="1">RESULTADOS!BA29</f>
        <v/>
      </c>
      <c r="BX12" s="111" t="str">
        <f ca="1">RESULTADOS!BB29</f>
        <v/>
      </c>
      <c r="BY12" s="111" t="str">
        <f ca="1">RESULTADOS!BC29</f>
        <v/>
      </c>
      <c r="BZ12" s="111" t="str">
        <f ca="1">RESULTADOS!BD29</f>
        <v/>
      </c>
      <c r="CA12" s="111" t="str">
        <f ca="1">RESULTADOS!BE29</f>
        <v/>
      </c>
      <c r="CB12" s="111" t="str">
        <f ca="1">RESULTADOS!BF29</f>
        <v/>
      </c>
      <c r="CC12" s="111" t="str">
        <f ca="1">RESULTADOS!BG29</f>
        <v/>
      </c>
      <c r="CD12" s="111" t="str">
        <f ca="1">RESULTADOS!BH29</f>
        <v/>
      </c>
      <c r="CE12" s="111" t="str">
        <f ca="1">RESULTADOS!BI29</f>
        <v/>
      </c>
      <c r="CF12" s="111" t="str">
        <f ca="1">RESULTADOS!BJ29</f>
        <v/>
      </c>
      <c r="CG12" s="111" t="str">
        <f ca="1">RESULTADOS!BK29</f>
        <v/>
      </c>
      <c r="CH12" s="111" t="str">
        <f ca="1">RESULTADOS!BL29</f>
        <v/>
      </c>
      <c r="CI12" s="111" t="str">
        <f ca="1">RESULTADOS!BM29</f>
        <v/>
      </c>
      <c r="CJ12" s="111" t="str">
        <f ca="1">RESULTADOS!BN29</f>
        <v/>
      </c>
      <c r="CK12" s="111" t="str">
        <f ca="1">RESULTADOS!BO29</f>
        <v/>
      </c>
      <c r="CL12" s="111" t="str">
        <f ca="1">RESULTADOS!BP29</f>
        <v/>
      </c>
      <c r="CM12" s="111" t="str">
        <f ca="1">RESULTADOS!BQ29</f>
        <v/>
      </c>
      <c r="CN12" s="111" t="str">
        <f ca="1">RESULTADOS!BR29</f>
        <v/>
      </c>
      <c r="CO12" s="111" t="str">
        <f ca="1">RESULTADOS!BS29</f>
        <v/>
      </c>
      <c r="CP12" s="111" t="str">
        <f ca="1">RESULTADOS!BT29</f>
        <v/>
      </c>
      <c r="CQ12" s="111" t="str">
        <f ca="1">RESULTADOS!BU29</f>
        <v/>
      </c>
      <c r="CR12" s="111" t="str">
        <f ca="1">RESULTADOS!BV29</f>
        <v/>
      </c>
      <c r="CS12" s="111" t="str">
        <f ca="1">RESULTADOS!BW29</f>
        <v/>
      </c>
      <c r="CT12" s="111" t="str">
        <f ca="1">RESULTADOS!BX29</f>
        <v/>
      </c>
      <c r="CU12" s="111" t="str">
        <f ca="1">RESULTADOS!BY29</f>
        <v/>
      </c>
      <c r="CV12" s="111" t="str">
        <f ca="1">RESULTADOS!BZ29</f>
        <v/>
      </c>
      <c r="CW12" s="111" t="str">
        <f ca="1">RESULTADOS!CA29</f>
        <v/>
      </c>
      <c r="CX12" s="111" t="str">
        <f ca="1">RESULTADOS!CB29</f>
        <v/>
      </c>
      <c r="CY12" s="111" t="str">
        <f ca="1">RESULTADOS!CC29</f>
        <v/>
      </c>
      <c r="CZ12" s="111" t="str">
        <f ca="1">RESULTADOS!CD29</f>
        <v/>
      </c>
      <c r="DA12" s="111" t="str">
        <f ca="1">RESULTADOS!CE29</f>
        <v/>
      </c>
      <c r="DB12" s="111" t="str">
        <f ca="1">RESULTADOS!CF29</f>
        <v/>
      </c>
      <c r="DC12" s="111" t="str">
        <f ca="1">RESULTADOS!CG29</f>
        <v/>
      </c>
      <c r="DD12" s="111" t="str">
        <f ca="1">RESULTADOS!CH29</f>
        <v/>
      </c>
      <c r="DE12" s="111" t="str">
        <f ca="1">RESULTADOS!CI29</f>
        <v/>
      </c>
      <c r="DF12" s="111" t="str">
        <f ca="1">RESULTADOS!CJ29</f>
        <v/>
      </c>
      <c r="DG12" s="111" t="str">
        <f ca="1">RESULTADOS!CK29</f>
        <v/>
      </c>
      <c r="DH12" s="111" t="str">
        <f ca="1">RESULTADOS!CL29</f>
        <v/>
      </c>
      <c r="DI12" s="111" t="str">
        <f ca="1">RESULTADOS!CM29</f>
        <v/>
      </c>
      <c r="DJ12" s="111" t="str">
        <f ca="1">RESULTADOS!CN29</f>
        <v/>
      </c>
      <c r="DK12" s="111" t="str">
        <f ca="1">RESULTADOS!CO29</f>
        <v/>
      </c>
      <c r="DL12" s="111" t="str">
        <f ca="1">RESULTADOS!CP29</f>
        <v/>
      </c>
      <c r="DM12" s="111" t="str">
        <f ca="1">RESULTADOS!CQ29</f>
        <v/>
      </c>
      <c r="DN12" s="111" t="str">
        <f ca="1">RESULTADOS!CR29</f>
        <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25</v>
      </c>
      <c r="D13" s="112" t="str">
        <f>'01.Definición de ámbito'!C33</f>
        <v>Página del Hospital 12 de Octubre con toda la info.</v>
      </c>
      <c r="E13" s="109" t="s">
        <v>59</v>
      </c>
      <c r="F13" s="112" t="str">
        <f>'02.Tecnologías'!I10</f>
        <v>No</v>
      </c>
      <c r="G13" s="112">
        <f>'02.Tecnologías'!K23</f>
        <v>0</v>
      </c>
      <c r="H13" s="112">
        <f>'02.Tecnologías'!L23</f>
        <v>0</v>
      </c>
      <c r="I13" s="162"/>
      <c r="J13" s="162"/>
      <c r="K13" t="s">
        <v>474</v>
      </c>
      <c r="L13" s="164" t="str">
        <f ca="1">RESULTADOS!E8</f>
        <v>25 (27,17 %)</v>
      </c>
      <c r="M13" s="164" t="str">
        <f ca="1">RESULTADOS!F8</f>
        <v>14 (15,22 %)</v>
      </c>
      <c r="N13" s="164" t="str">
        <f ca="1">RESULTADOS!G8</f>
        <v>53 (57,61 %)</v>
      </c>
      <c r="O13" s="113">
        <f ca="1">RESULTADOS!H8</f>
        <v>0</v>
      </c>
      <c r="P13" s="113">
        <f ca="1">RESULTADOS!I8</f>
        <v>0</v>
      </c>
      <c r="T13" s="113" t="str">
        <f>RESULTADOS!B30</f>
        <v/>
      </c>
      <c r="U13" s="113" t="str">
        <f>RESULTADOS!C30</f>
        <v/>
      </c>
      <c r="V13" s="113" t="str">
        <f t="shared" si="0"/>
        <v/>
      </c>
      <c r="W13" s="113" t="str">
        <v/>
      </c>
      <c r="X13" s="113" t="str">
        <f>RESULTADOS!D30</f>
        <v/>
      </c>
      <c r="Y13" s="113" t="str">
        <v/>
      </c>
      <c r="Z13" s="188" t="str">
        <v/>
      </c>
      <c r="AA13" s="111" t="str">
        <f ca="1">RESULTADOS!E30</f>
        <v/>
      </c>
      <c r="AB13" s="111" t="str">
        <f ca="1">RESULTADOS!F30</f>
        <v/>
      </c>
      <c r="AC13" s="111" t="str">
        <f ca="1">RESULTADOS!G30</f>
        <v/>
      </c>
      <c r="AD13" s="111" t="str">
        <f ca="1">RESULTADOS!H30</f>
        <v/>
      </c>
      <c r="AE13" s="111" t="str">
        <f ca="1">RESULTADOS!I30</f>
        <v/>
      </c>
      <c r="AF13" s="111" t="str">
        <f ca="1">RESULTADOS!J30</f>
        <v/>
      </c>
      <c r="AG13" s="111" t="str">
        <f ca="1">RESULTADOS!K30</f>
        <v/>
      </c>
      <c r="AH13" s="111" t="str">
        <f ca="1">RESULTADOS!L30</f>
        <v/>
      </c>
      <c r="AI13" s="111" t="str">
        <f ca="1">RESULTADOS!M30</f>
        <v/>
      </c>
      <c r="AJ13" s="111" t="str">
        <f ca="1">RESULTADOS!N30</f>
        <v/>
      </c>
      <c r="AK13" s="111" t="str">
        <f ca="1">RESULTADOS!O30</f>
        <v/>
      </c>
      <c r="AL13" s="111" t="str">
        <f ca="1">RESULTADOS!P30</f>
        <v/>
      </c>
      <c r="AM13" s="111" t="str">
        <f ca="1">RESULTADOS!Q30</f>
        <v/>
      </c>
      <c r="AN13" s="111" t="str">
        <f ca="1">RESULTADOS!R30</f>
        <v/>
      </c>
      <c r="AO13" s="111" t="str">
        <f ca="1">RESULTADOS!S30</f>
        <v/>
      </c>
      <c r="AP13" s="111" t="str">
        <f ca="1">RESULTADOS!T30</f>
        <v/>
      </c>
      <c r="AQ13" s="111" t="str">
        <f ca="1">RESULTADOS!U30</f>
        <v/>
      </c>
      <c r="AR13" s="111" t="str">
        <f ca="1">RESULTADOS!V30</f>
        <v/>
      </c>
      <c r="AS13" s="111" t="str">
        <f ca="1">RESULTADOS!W30</f>
        <v/>
      </c>
      <c r="AT13" s="111" t="str">
        <f ca="1">RESULTADOS!X30</f>
        <v/>
      </c>
      <c r="AU13" s="111" t="str">
        <f ca="1">RESULTADOS!Y30</f>
        <v/>
      </c>
      <c r="AV13" s="111" t="str">
        <f ca="1">RESULTADOS!Z30</f>
        <v/>
      </c>
      <c r="AW13" s="111" t="str">
        <f ca="1">RESULTADOS!AA30</f>
        <v/>
      </c>
      <c r="AX13" s="111" t="str">
        <f ca="1">RESULTADOS!AB30</f>
        <v/>
      </c>
      <c r="AY13" s="111" t="str">
        <f ca="1">RESULTADOS!AC30</f>
        <v/>
      </c>
      <c r="AZ13" s="111" t="str">
        <f ca="1">RESULTADOS!AD30</f>
        <v/>
      </c>
      <c r="BA13" s="111" t="str">
        <f ca="1">RESULTADOS!AE30</f>
        <v/>
      </c>
      <c r="BB13" s="111" t="str">
        <f ca="1">RESULTADOS!AF30</f>
        <v/>
      </c>
      <c r="BC13" s="111" t="str">
        <f ca="1">RESULTADOS!AG30</f>
        <v/>
      </c>
      <c r="BD13" s="111" t="str">
        <f ca="1">RESULTADOS!AH30</f>
        <v/>
      </c>
      <c r="BE13" s="111" t="str">
        <f ca="1">RESULTADOS!AI30</f>
        <v/>
      </c>
      <c r="BF13" s="111" t="str">
        <f ca="1">RESULTADOS!AJ30</f>
        <v/>
      </c>
      <c r="BG13" s="111" t="str">
        <f ca="1">RESULTADOS!AK30</f>
        <v/>
      </c>
      <c r="BH13" s="111" t="str">
        <f ca="1">RESULTADOS!AL30</f>
        <v/>
      </c>
      <c r="BI13" s="111" t="str">
        <f ca="1">RESULTADOS!AM30</f>
        <v/>
      </c>
      <c r="BJ13" s="111" t="str">
        <f ca="1">RESULTADOS!AN30</f>
        <v/>
      </c>
      <c r="BK13" s="111" t="str">
        <f ca="1">RESULTADOS!AO30</f>
        <v/>
      </c>
      <c r="BL13" s="111" t="str">
        <f ca="1">RESULTADOS!AP30</f>
        <v/>
      </c>
      <c r="BM13" s="111" t="str">
        <f ca="1">RESULTADOS!AQ30</f>
        <v/>
      </c>
      <c r="BN13" s="111" t="str">
        <f ca="1">RESULTADOS!AR30</f>
        <v/>
      </c>
      <c r="BO13" s="111" t="str">
        <f ca="1">RESULTADOS!AS30</f>
        <v/>
      </c>
      <c r="BP13" s="111" t="str">
        <f ca="1">RESULTADOS!AT30</f>
        <v/>
      </c>
      <c r="BQ13" s="111" t="str">
        <f ca="1">RESULTADOS!AU30</f>
        <v/>
      </c>
      <c r="BR13" s="111" t="str">
        <f ca="1">RESULTADOS!AV30</f>
        <v/>
      </c>
      <c r="BS13" s="111" t="str">
        <f ca="1">RESULTADOS!AW30</f>
        <v/>
      </c>
      <c r="BT13" s="111" t="str">
        <f ca="1">RESULTADOS!AX30</f>
        <v/>
      </c>
      <c r="BU13" s="111" t="str">
        <f ca="1">RESULTADOS!AY30</f>
        <v/>
      </c>
      <c r="BV13" s="111" t="str">
        <f ca="1">RESULTADOS!AZ30</f>
        <v/>
      </c>
      <c r="BW13" s="111" t="str">
        <f ca="1">RESULTADOS!BA30</f>
        <v/>
      </c>
      <c r="BX13" s="111" t="str">
        <f ca="1">RESULTADOS!BB30</f>
        <v/>
      </c>
      <c r="BY13" s="111" t="str">
        <f ca="1">RESULTADOS!BC30</f>
        <v/>
      </c>
      <c r="BZ13" s="111" t="str">
        <f ca="1">RESULTADOS!BD30</f>
        <v/>
      </c>
      <c r="CA13" s="111" t="str">
        <f ca="1">RESULTADOS!BE30</f>
        <v/>
      </c>
      <c r="CB13" s="111" t="str">
        <f ca="1">RESULTADOS!BF30</f>
        <v/>
      </c>
      <c r="CC13" s="111" t="str">
        <f ca="1">RESULTADOS!BG30</f>
        <v/>
      </c>
      <c r="CD13" s="111" t="str">
        <f ca="1">RESULTADOS!BH30</f>
        <v/>
      </c>
      <c r="CE13" s="111" t="str">
        <f ca="1">RESULTADOS!BI30</f>
        <v/>
      </c>
      <c r="CF13" s="111" t="str">
        <f ca="1">RESULTADOS!BJ30</f>
        <v/>
      </c>
      <c r="CG13" s="111" t="str">
        <f ca="1">RESULTADOS!BK30</f>
        <v/>
      </c>
      <c r="CH13" s="111" t="str">
        <f ca="1">RESULTADOS!BL30</f>
        <v/>
      </c>
      <c r="CI13" s="111" t="str">
        <f ca="1">RESULTADOS!BM30</f>
        <v/>
      </c>
      <c r="CJ13" s="111" t="str">
        <f ca="1">RESULTADOS!BN30</f>
        <v/>
      </c>
      <c r="CK13" s="111" t="str">
        <f ca="1">RESULTADOS!BO30</f>
        <v/>
      </c>
      <c r="CL13" s="111" t="str">
        <f ca="1">RESULTADOS!BP30</f>
        <v/>
      </c>
      <c r="CM13" s="111" t="str">
        <f ca="1">RESULTADOS!BQ30</f>
        <v/>
      </c>
      <c r="CN13" s="111" t="str">
        <f ca="1">RESULTADOS!BR30</f>
        <v/>
      </c>
      <c r="CO13" s="111" t="str">
        <f ca="1">RESULTADOS!BS30</f>
        <v/>
      </c>
      <c r="CP13" s="111" t="str">
        <f ca="1">RESULTADOS!BT30</f>
        <v/>
      </c>
      <c r="CQ13" s="111" t="str">
        <f ca="1">RESULTADOS!BU30</f>
        <v/>
      </c>
      <c r="CR13" s="111" t="str">
        <f ca="1">RESULTADOS!BV30</f>
        <v/>
      </c>
      <c r="CS13" s="111" t="str">
        <f ca="1">RESULTADOS!BW30</f>
        <v/>
      </c>
      <c r="CT13" s="111" t="str">
        <f ca="1">RESULTADOS!BX30</f>
        <v/>
      </c>
      <c r="CU13" s="111" t="str">
        <f ca="1">RESULTADOS!BY30</f>
        <v/>
      </c>
      <c r="CV13" s="111" t="str">
        <f ca="1">RESULTADOS!BZ30</f>
        <v/>
      </c>
      <c r="CW13" s="111" t="str">
        <f ca="1">RESULTADOS!CA30</f>
        <v/>
      </c>
      <c r="CX13" s="111" t="str">
        <f ca="1">RESULTADOS!CB30</f>
        <v/>
      </c>
      <c r="CY13" s="111" t="str">
        <f ca="1">RESULTADOS!CC30</f>
        <v/>
      </c>
      <c r="CZ13" s="111" t="str">
        <f ca="1">RESULTADOS!CD30</f>
        <v/>
      </c>
      <c r="DA13" s="111" t="str">
        <f ca="1">RESULTADOS!CE30</f>
        <v/>
      </c>
      <c r="DB13" s="111" t="str">
        <f ca="1">RESULTADOS!CF30</f>
        <v/>
      </c>
      <c r="DC13" s="111" t="str">
        <f ca="1">RESULTADOS!CG30</f>
        <v/>
      </c>
      <c r="DD13" s="111" t="str">
        <f ca="1">RESULTADOS!CH30</f>
        <v/>
      </c>
      <c r="DE13" s="111" t="str">
        <f ca="1">RESULTADOS!CI30</f>
        <v/>
      </c>
      <c r="DF13" s="111" t="str">
        <f ca="1">RESULTADOS!CJ30</f>
        <v/>
      </c>
      <c r="DG13" s="111" t="str">
        <f ca="1">RESULTADOS!CK30</f>
        <v/>
      </c>
      <c r="DH13" s="111" t="str">
        <f ca="1">RESULTADOS!CL30</f>
        <v/>
      </c>
      <c r="DI13" s="111" t="str">
        <f ca="1">RESULTADOS!CM30</f>
        <v/>
      </c>
      <c r="DJ13" s="111" t="str">
        <f ca="1">RESULTADOS!CN30</f>
        <v/>
      </c>
      <c r="DK13" s="111" t="str">
        <f ca="1">RESULTADOS!CO30</f>
        <v/>
      </c>
      <c r="DL13" s="111" t="str">
        <f ca="1">RESULTADOS!CP30</f>
        <v/>
      </c>
      <c r="DM13" s="111" t="str">
        <f ca="1">RESULTADOS!CQ30</f>
        <v/>
      </c>
      <c r="DN13" s="111" t="str">
        <f ca="1">RESULTADOS!CR30</f>
        <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26</v>
      </c>
      <c r="D14" s="112">
        <f>'01.Definición de ámbito'!C35</f>
        <v>45191</v>
      </c>
      <c r="E14" s="109" t="s">
        <v>62</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27</v>
      </c>
      <c r="D15" s="112" t="str">
        <f>'01.Definición de ámbito'!C39</f>
        <v>UNE-EN 301 549:2022 - excluyendo el contenido excluido por el RD 1112/2018</v>
      </c>
      <c r="E15" s="109" t="s">
        <v>65</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29</v>
      </c>
      <c r="D16" s="112" t="str">
        <f>'01.Definición de ámbito'!C41</f>
        <v>Equipo: Intel(R) Core(TM) i5-8365U CPU @ 1.60GHz   1.90 GHz, 
RAM: 8,0 GB
Sistema Operativo: Windows 10 Enterprise
Navegador: Google Chrome Versión 109.0.5414.75
Herramientas utilizadas: Tawdis, LightHouse, Wave, Color Contrast Analyzer, Headings map, Screen reader, https://validator.w3.org/nu/</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30</v>
      </c>
      <c r="D17" s="112">
        <f>'01.Definición de ámbito'!C45</f>
        <v>0</v>
      </c>
      <c r="K17" t="s">
        <v>476</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35</v>
      </c>
      <c r="D18" s="112" t="str">
        <f>'01.Definición de ámbito'!D48</f>
        <v>No</v>
      </c>
      <c r="K18" t="s">
        <v>92</v>
      </c>
      <c r="L18" s="113">
        <f ca="1">RESULTADOS!L8</f>
        <v>230</v>
      </c>
      <c r="M18" s="171">
        <f ca="1">RESULTADOS!M8</f>
        <v>0.27777777777777779</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37</v>
      </c>
      <c r="D19" s="112" t="str">
        <f>'01.Definición de ámbito'!D49</f>
        <v>No</v>
      </c>
      <c r="K19" t="s">
        <v>94</v>
      </c>
      <c r="L19" s="113">
        <f ca="1">RESULTADOS!L9</f>
        <v>65</v>
      </c>
      <c r="M19" s="171">
        <f ca="1">RESULTADOS!M9</f>
        <v>7.85024154589372E-2</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38</v>
      </c>
      <c r="D20" s="112" t="str">
        <f>'01.Definición de ámbito'!D50</f>
        <v>No</v>
      </c>
      <c r="K20" t="s">
        <v>97</v>
      </c>
      <c r="L20" s="113">
        <f ca="1">RESULTADOS!L10</f>
        <v>533</v>
      </c>
      <c r="M20" s="171">
        <f ca="1">RESULTADOS!M10</f>
        <v>0.643719806763285</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39</v>
      </c>
      <c r="D21" s="112" t="str">
        <f>'01.Definición de ámbito'!D51</f>
        <v>No</v>
      </c>
      <c r="K21" t="s">
        <v>266</v>
      </c>
      <c r="L21" s="113">
        <f ca="1">RESULTADOS!L11</f>
        <v>828</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41</v>
      </c>
      <c r="D23" s="112" t="str">
        <f>'01.Definición de ámbito'!D53</f>
        <v>Sí</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478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45</v>
      </c>
      <c r="D29" s="112" t="str">
        <f>'01.Definición de ámbito'!C58</f>
        <v>Autoevaluación con recursos externos</v>
      </c>
      <c r="K29" t="s">
        <v>479</v>
      </c>
      <c r="L29" s="115">
        <f ca="1">RESULTADOS!F14</f>
        <v>6.41</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Atos</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49</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L1036"/>
  <sheetViews>
    <sheetView topLeftCell="A43" zoomScale="85" zoomScaleNormal="85" workbookViewId="0">
      <selection activeCell="D54" sqref="D54"/>
    </sheetView>
  </sheetViews>
  <sheetFormatPr baseColWidth="10" defaultColWidth="11.54296875" defaultRowHeight="12.5"/>
  <cols>
    <col min="1" max="1" width="11.54296875" style="14"/>
    <col min="2" max="2" width="79.90625" style="14" customWidth="1"/>
    <col min="3" max="3" width="126.453125" style="14" customWidth="1"/>
    <col min="4" max="4" width="8.08984375" style="14" customWidth="1"/>
    <col min="5" max="5" width="16" style="14" customWidth="1"/>
    <col min="6" max="11" width="9.08984375" style="14" customWidth="1"/>
    <col min="12" max="12" width="23.08984375" style="14" customWidth="1"/>
    <col min="13" max="13" width="4" style="14" customWidth="1"/>
    <col min="14" max="19" width="9.08984375" style="14" customWidth="1"/>
    <col min="20" max="20" width="20" style="14" customWidth="1"/>
    <col min="21" max="23" width="9.08984375" style="14" customWidth="1"/>
    <col min="24" max="26" width="8.6328125" style="14" customWidth="1"/>
    <col min="27"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5" t="s">
        <v>12</v>
      </c>
      <c r="E3" s="216"/>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483</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480</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484</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485</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45191</v>
      </c>
      <c r="D35" s="98"/>
      <c r="E35" s="98"/>
      <c r="F35" s="98"/>
      <c r="G35" s="98"/>
      <c r="H35" s="98"/>
      <c r="I35" s="98"/>
      <c r="J35" s="98"/>
      <c r="K35" s="98"/>
      <c r="L35" s="98"/>
      <c r="M35" s="98"/>
    </row>
    <row r="36" spans="2:26" ht="11.4" customHeight="1">
      <c r="B36" s="13"/>
      <c r="C36" s="13"/>
    </row>
    <row r="37" spans="2:26" ht="14.15"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486</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9" customHeight="1">
      <c r="C48" s="27" t="s">
        <v>35</v>
      </c>
      <c r="D48" s="19" t="s">
        <v>36</v>
      </c>
      <c r="G48" s="62"/>
    </row>
    <row r="49" spans="2:26" ht="14.9" customHeight="1">
      <c r="C49" s="27" t="s">
        <v>37</v>
      </c>
      <c r="D49" s="19" t="s">
        <v>36</v>
      </c>
      <c r="G49" s="62"/>
    </row>
    <row r="50" spans="2:26" ht="14.9" customHeight="1">
      <c r="C50" s="27" t="s">
        <v>38</v>
      </c>
      <c r="D50" s="19" t="s">
        <v>36</v>
      </c>
      <c r="G50" s="62"/>
    </row>
    <row r="51" spans="2:26" ht="14.9" customHeight="1">
      <c r="C51" s="27" t="s">
        <v>39</v>
      </c>
      <c r="D51" s="19" t="s">
        <v>36</v>
      </c>
      <c r="G51" s="62"/>
    </row>
    <row r="52" spans="2:26" ht="14.9" customHeight="1">
      <c r="C52" s="27" t="s">
        <v>40</v>
      </c>
      <c r="D52" s="19" t="s">
        <v>36</v>
      </c>
      <c r="G52" s="62"/>
    </row>
    <row r="53" spans="2:26" ht="14.9" customHeight="1">
      <c r="C53" s="27" t="s">
        <v>41</v>
      </c>
      <c r="D53" s="19" t="s">
        <v>54</v>
      </c>
      <c r="G53" s="62"/>
    </row>
    <row r="54" spans="2:26" ht="14.9" customHeight="1">
      <c r="C54" s="27" t="s">
        <v>42</v>
      </c>
      <c r="D54" s="19" t="s">
        <v>36</v>
      </c>
      <c r="G54" s="62"/>
    </row>
    <row r="55" spans="2:26" ht="14.9" customHeight="1">
      <c r="C55" s="27" t="s">
        <v>43</v>
      </c>
      <c r="D55" s="19" t="s">
        <v>36</v>
      </c>
      <c r="G55" s="62"/>
    </row>
    <row r="56" spans="2:26" ht="14.9" customHeight="1">
      <c r="C56" s="27" t="s">
        <v>44</v>
      </c>
      <c r="D56" s="19" t="s">
        <v>36</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47</v>
      </c>
      <c r="C60" s="61" t="s">
        <v>48</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49</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14:formula1>
            <xm:f>'DATA - Oculta'!$C$8:$C$12</xm:f>
          </x14:formula1>
          <x14:formula2>
            <xm:f>0</xm:f>
          </x14:formula2>
          <xm:sqref>C45</xm:sqref>
        </x14:dataValidation>
        <x14:dataValidation type="list" operator="equal" allowBlank="1" showErrorMessage="1" errorTitle="Error" error="Seleccione una de las opciones del desplegable.">
          <x14:formula1>
            <xm:f>'DATA - Oculta'!$K$8:$K$10</xm:f>
          </x14:formula1>
          <x14:formula2>
            <xm:f>0</xm:f>
          </x14:formula2>
          <xm:sqref>D48:D56</xm:sqref>
        </x14:dataValidation>
        <x14:dataValidation type="list" operator="equal" allowBlank="1" showErrorMessage="1" errorTitle="Error" error="Seleccione una de las opciones del desplegable.">
          <x14:formula1>
            <xm:f>'DATA - Oculta'!$G$9:$G$11</xm:f>
          </x14:formula1>
          <x14:formula2>
            <xm:f>0</xm:f>
          </x14:formula2>
          <xm:sqref>C58</xm:sqref>
        </x14:dataValidation>
        <x14:dataValidation type="list" allowBlank="1" showInputMessage="1" showErrorMessage="1">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H23"/>
  <sheetViews>
    <sheetView zoomScale="85" zoomScaleNormal="85" workbookViewId="0">
      <selection activeCell="C13" sqref="C13"/>
    </sheetView>
  </sheetViews>
  <sheetFormatPr baseColWidth="10" defaultColWidth="11.54296875" defaultRowHeight="12.5"/>
  <cols>
    <col min="1" max="1" width="11.54296875" style="148"/>
    <col min="2" max="2" width="14" style="148" customWidth="1"/>
    <col min="3" max="3" width="8.6328125" style="148" customWidth="1"/>
    <col min="4" max="4" width="9.453125" style="148" customWidth="1"/>
    <col min="5" max="5" width="14.453125" style="148" customWidth="1"/>
    <col min="6" max="6" width="8.54296875" style="148" customWidth="1"/>
    <col min="7" max="7" width="11.54296875" style="148"/>
    <col min="8" max="8" width="12" style="148" customWidth="1"/>
    <col min="9" max="9" width="8.6328125" style="148" customWidth="1"/>
    <col min="10" max="10" width="11.54296875" style="148"/>
    <col min="11" max="11" width="19.54296875" style="148" customWidth="1"/>
    <col min="12" max="12" width="40.6328125" style="148" customWidth="1"/>
    <col min="13" max="16384" width="11.5429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4"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4" customHeight="1">
      <c r="B5" s="152" t="s">
        <v>50</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7" t="s">
        <v>51</v>
      </c>
      <c r="C6" s="217"/>
      <c r="D6" s="217"/>
      <c r="E6" s="217"/>
      <c r="F6" s="217"/>
      <c r="G6" s="217"/>
      <c r="H6" s="217"/>
      <c r="I6" s="217"/>
      <c r="J6" s="217"/>
      <c r="K6" s="217"/>
      <c r="L6" s="217"/>
    </row>
    <row r="7" spans="1:60" ht="33.15" customHeight="1" thickTop="1">
      <c r="B7" s="218" t="s">
        <v>52</v>
      </c>
      <c r="C7" s="218"/>
      <c r="D7" s="218"/>
      <c r="E7" s="218"/>
      <c r="F7" s="218"/>
      <c r="G7" s="218"/>
      <c r="H7" s="218"/>
      <c r="I7" s="218"/>
      <c r="J7" s="218"/>
      <c r="K7" s="218"/>
      <c r="L7" s="218"/>
    </row>
    <row r="8" spans="1:60" ht="21.65" customHeight="1"/>
    <row r="9" spans="1:60" ht="17.149999999999999" customHeight="1">
      <c r="B9" s="156" t="s">
        <v>53</v>
      </c>
      <c r="C9" s="157" t="s">
        <v>54</v>
      </c>
      <c r="E9" s="156" t="s">
        <v>55</v>
      </c>
      <c r="F9" s="157" t="s">
        <v>36</v>
      </c>
      <c r="H9" s="156" t="s">
        <v>56</v>
      </c>
      <c r="I9" s="157" t="s">
        <v>36</v>
      </c>
    </row>
    <row r="10" spans="1:60" ht="17.149999999999999" customHeight="1">
      <c r="B10" s="156" t="s">
        <v>57</v>
      </c>
      <c r="C10" s="157" t="s">
        <v>36</v>
      </c>
      <c r="E10" s="156" t="s">
        <v>58</v>
      </c>
      <c r="F10" s="157" t="s">
        <v>36</v>
      </c>
      <c r="H10" s="156" t="s">
        <v>59</v>
      </c>
      <c r="I10" s="157" t="s">
        <v>36</v>
      </c>
    </row>
    <row r="11" spans="1:60" ht="17.149999999999999" customHeight="1">
      <c r="B11" s="156" t="s">
        <v>60</v>
      </c>
      <c r="C11" s="157" t="s">
        <v>36</v>
      </c>
      <c r="E11" s="156" t="s">
        <v>61</v>
      </c>
      <c r="F11" s="157" t="s">
        <v>36</v>
      </c>
      <c r="H11" s="156" t="s">
        <v>62</v>
      </c>
      <c r="I11" s="157" t="s">
        <v>36</v>
      </c>
    </row>
    <row r="12" spans="1:60" ht="17.149999999999999" customHeight="1">
      <c r="B12" s="156" t="s">
        <v>63</v>
      </c>
      <c r="C12" s="157" t="s">
        <v>54</v>
      </c>
      <c r="E12" s="156" t="s">
        <v>64</v>
      </c>
      <c r="F12" s="157" t="s">
        <v>36</v>
      </c>
      <c r="H12" s="156" t="s">
        <v>65</v>
      </c>
      <c r="I12" s="157" t="s">
        <v>36</v>
      </c>
      <c r="K12" s="158" t="s">
        <v>66</v>
      </c>
      <c r="L12" s="158" t="s">
        <v>67</v>
      </c>
    </row>
    <row r="13" spans="1:60" ht="17.149999999999999" customHeight="1">
      <c r="B13" s="156" t="s">
        <v>68</v>
      </c>
      <c r="C13" s="157" t="s">
        <v>54</v>
      </c>
      <c r="E13" s="156" t="s">
        <v>69</v>
      </c>
      <c r="F13" s="157" t="s">
        <v>36</v>
      </c>
      <c r="K13" s="159"/>
      <c r="L13" s="159"/>
    </row>
    <row r="14" spans="1:60" ht="17.149999999999999" customHeight="1">
      <c r="K14" s="159"/>
      <c r="L14" s="159"/>
    </row>
    <row r="15" spans="1:60" ht="17.149999999999999" customHeight="1">
      <c r="K15" s="159"/>
      <c r="L15" s="159"/>
    </row>
    <row r="16" spans="1:60" ht="17.149999999999999" customHeight="1">
      <c r="K16" s="159"/>
      <c r="L16" s="159"/>
    </row>
    <row r="17" spans="3:12">
      <c r="C17" s="219" t="s">
        <v>70</v>
      </c>
      <c r="D17" s="220"/>
      <c r="E17" s="220"/>
      <c r="F17" s="220"/>
      <c r="G17" s="221"/>
      <c r="K17" s="159"/>
      <c r="L17" s="159"/>
    </row>
    <row r="18" spans="3:12">
      <c r="C18" s="222"/>
      <c r="D18" s="223"/>
      <c r="E18" s="223"/>
      <c r="F18" s="223"/>
      <c r="G18" s="224"/>
      <c r="K18" s="159"/>
      <c r="L18" s="159"/>
    </row>
    <row r="19" spans="3:12">
      <c r="C19" s="225"/>
      <c r="D19" s="226"/>
      <c r="E19" s="226"/>
      <c r="F19" s="226"/>
      <c r="G19" s="227"/>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L981"/>
  <sheetViews>
    <sheetView zoomScale="70" zoomScaleNormal="70" workbookViewId="0">
      <selection activeCell="F12" sqref="F12"/>
    </sheetView>
  </sheetViews>
  <sheetFormatPr baseColWidth="10" defaultColWidth="11.54296875" defaultRowHeight="12.5"/>
  <cols>
    <col min="1" max="1" width="11.6328125" style="14" customWidth="1"/>
    <col min="2" max="2" width="9.54296875" style="14" customWidth="1"/>
    <col min="3" max="3" width="27.36328125" style="14" customWidth="1"/>
    <col min="4" max="4" width="19.08984375" style="14" customWidth="1"/>
    <col min="5" max="5" width="27.54296875" style="14" bestFit="1" customWidth="1"/>
    <col min="6" max="6" width="72.54296875" style="14" customWidth="1"/>
    <col min="7" max="7" width="64.6328125" style="14" customWidth="1"/>
    <col min="8" max="8" width="134.453125" style="14" customWidth="1"/>
    <col min="9" max="24" width="8.6328125" style="14" customWidth="1"/>
    <col min="25"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28" t="s">
        <v>71</v>
      </c>
      <c r="C5" s="228"/>
      <c r="D5" s="228"/>
      <c r="E5" s="228"/>
      <c r="F5" s="228"/>
      <c r="G5" s="228"/>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72</v>
      </c>
      <c r="C7" s="104" t="s">
        <v>73</v>
      </c>
      <c r="D7" s="104" t="s">
        <v>74</v>
      </c>
      <c r="E7" s="104" t="s">
        <v>75</v>
      </c>
      <c r="F7" s="104" t="s">
        <v>76</v>
      </c>
      <c r="G7" s="104" t="s">
        <v>77</v>
      </c>
      <c r="H7" s="104" t="s">
        <v>78</v>
      </c>
      <c r="I7" s="18"/>
      <c r="J7" s="18"/>
      <c r="K7" s="18"/>
      <c r="L7" s="18"/>
      <c r="M7" s="18"/>
      <c r="N7" s="18"/>
      <c r="O7" s="18"/>
      <c r="P7" s="18"/>
      <c r="Q7" s="18"/>
      <c r="R7" s="18"/>
      <c r="S7" s="18"/>
      <c r="T7" s="18"/>
      <c r="U7" s="18"/>
      <c r="V7" s="18"/>
      <c r="W7" s="18"/>
      <c r="X7" s="18"/>
      <c r="Y7" s="18"/>
    </row>
    <row r="8" spans="1:64" ht="18.149999999999999" customHeight="1">
      <c r="B8" s="102">
        <v>1</v>
      </c>
      <c r="C8" s="103" t="s">
        <v>481</v>
      </c>
      <c r="D8" s="53" t="s">
        <v>482</v>
      </c>
      <c r="E8" s="53" t="s">
        <v>425</v>
      </c>
      <c r="F8" s="123" t="s">
        <v>480</v>
      </c>
      <c r="G8" s="53" t="s">
        <v>481</v>
      </c>
      <c r="H8" s="143"/>
      <c r="I8" s="18"/>
      <c r="J8" s="18"/>
      <c r="K8" s="18"/>
      <c r="L8" s="18"/>
      <c r="M8" s="18"/>
      <c r="N8" s="18"/>
      <c r="O8" s="18"/>
      <c r="P8" s="18"/>
      <c r="Q8" s="18"/>
      <c r="R8" s="18"/>
      <c r="S8" s="18"/>
      <c r="T8" s="18"/>
      <c r="U8" s="18"/>
      <c r="V8" s="18"/>
      <c r="W8" s="18"/>
      <c r="X8" s="18"/>
      <c r="Y8" s="18"/>
    </row>
    <row r="9" spans="1:64" ht="18.149999999999999" customHeight="1">
      <c r="B9" s="51">
        <v>2</v>
      </c>
      <c r="C9" s="52" t="s">
        <v>487</v>
      </c>
      <c r="D9" s="53" t="s">
        <v>482</v>
      </c>
      <c r="E9" s="53" t="s">
        <v>444</v>
      </c>
      <c r="F9" s="123" t="s">
        <v>488</v>
      </c>
      <c r="G9" s="53" t="s">
        <v>489</v>
      </c>
      <c r="H9" s="101"/>
      <c r="I9" s="18"/>
      <c r="J9" s="18"/>
      <c r="K9" s="18"/>
      <c r="L9" s="18"/>
      <c r="M9" s="18"/>
      <c r="N9" s="18"/>
      <c r="O9" s="18"/>
      <c r="P9" s="18"/>
      <c r="Q9" s="18"/>
      <c r="R9" s="18"/>
      <c r="S9" s="18"/>
      <c r="T9" s="18"/>
      <c r="U9" s="18"/>
      <c r="V9" s="18"/>
      <c r="W9" s="18"/>
      <c r="X9" s="18"/>
      <c r="Y9" s="18"/>
    </row>
    <row r="10" spans="1:64" ht="18.149999999999999" customHeight="1">
      <c r="B10" s="51">
        <v>3</v>
      </c>
      <c r="C10" s="52" t="s">
        <v>490</v>
      </c>
      <c r="D10" s="53" t="s">
        <v>482</v>
      </c>
      <c r="E10" s="53" t="s">
        <v>444</v>
      </c>
      <c r="F10" s="123" t="s">
        <v>491</v>
      </c>
      <c r="G10" s="53" t="s">
        <v>492</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493</v>
      </c>
      <c r="D11" s="53" t="s">
        <v>482</v>
      </c>
      <c r="E11" s="53" t="s">
        <v>444</v>
      </c>
      <c r="F11" s="123" t="s">
        <v>494</v>
      </c>
      <c r="G11" s="53" t="s">
        <v>495</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497</v>
      </c>
      <c r="D12" s="53" t="s">
        <v>482</v>
      </c>
      <c r="E12" s="53" t="s">
        <v>444</v>
      </c>
      <c r="F12" s="123" t="s">
        <v>496</v>
      </c>
      <c r="G12" s="53" t="s">
        <v>498</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499</v>
      </c>
      <c r="D13" s="53" t="s">
        <v>482</v>
      </c>
      <c r="E13" s="53" t="s">
        <v>429</v>
      </c>
      <c r="F13" s="123" t="s">
        <v>500</v>
      </c>
      <c r="G13" s="53" t="s">
        <v>501</v>
      </c>
      <c r="H13" s="101"/>
      <c r="I13" s="18"/>
      <c r="J13" s="18"/>
      <c r="K13" s="18"/>
      <c r="L13" s="18"/>
      <c r="M13" s="18"/>
      <c r="N13" s="18"/>
      <c r="O13" s="18"/>
      <c r="P13" s="18"/>
      <c r="Q13" s="18"/>
      <c r="R13" s="18"/>
      <c r="S13" s="18"/>
      <c r="T13" s="18"/>
      <c r="V13" s="18"/>
      <c r="W13" s="18"/>
      <c r="X13" s="18"/>
      <c r="Y13" s="18"/>
    </row>
    <row r="14" spans="1:64" ht="18.149999999999999" customHeight="1">
      <c r="B14" s="51">
        <v>7</v>
      </c>
      <c r="C14" s="52" t="s">
        <v>502</v>
      </c>
      <c r="D14" s="53" t="s">
        <v>482</v>
      </c>
      <c r="E14" s="53" t="s">
        <v>429</v>
      </c>
      <c r="F14" s="123" t="s">
        <v>503</v>
      </c>
      <c r="G14" s="53" t="s">
        <v>504</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505</v>
      </c>
      <c r="D15" s="53" t="s">
        <v>482</v>
      </c>
      <c r="E15" s="53" t="s">
        <v>444</v>
      </c>
      <c r="F15" s="123" t="s">
        <v>506</v>
      </c>
      <c r="G15" s="53" t="s">
        <v>511</v>
      </c>
      <c r="H15" s="101" t="s">
        <v>510</v>
      </c>
      <c r="I15" s="18"/>
      <c r="J15" s="18"/>
      <c r="K15" s="18"/>
      <c r="L15" s="18"/>
      <c r="M15" s="18"/>
      <c r="N15" s="18"/>
      <c r="O15" s="18"/>
      <c r="P15" s="18"/>
      <c r="Q15" s="18"/>
      <c r="R15" s="18"/>
      <c r="S15" s="18"/>
      <c r="T15" s="18"/>
      <c r="U15" s="18"/>
      <c r="V15" s="18"/>
      <c r="W15" s="18"/>
      <c r="X15" s="18"/>
      <c r="Y15" s="18"/>
    </row>
    <row r="16" spans="1:64" ht="18.149999999999999" customHeight="1">
      <c r="B16" s="51">
        <v>9</v>
      </c>
      <c r="C16" s="52" t="s">
        <v>508</v>
      </c>
      <c r="D16" s="53" t="s">
        <v>482</v>
      </c>
      <c r="E16" s="53" t="s">
        <v>442</v>
      </c>
      <c r="F16" s="123" t="s">
        <v>507</v>
      </c>
      <c r="G16" s="53" t="s">
        <v>509</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c r="D17" s="53"/>
      <c r="E17" s="53"/>
      <c r="F17" s="123"/>
      <c r="G17" s="53"/>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c r="D18" s="53"/>
      <c r="E18" s="53"/>
      <c r="F18" s="123"/>
      <c r="G18" s="53"/>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79</v>
      </c>
      <c r="C45" s="56"/>
      <c r="D45" s="57">
        <f>COUNTA(F8:F42)</f>
        <v>9</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80</v>
      </c>
      <c r="C47" s="56"/>
      <c r="D47" s="57">
        <f>D45-D49</f>
        <v>7</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81</v>
      </c>
      <c r="C49" s="58"/>
      <c r="D49" s="57">
        <f>COUNTIF(E8:E42,"Aleatoria")</f>
        <v>2</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E44">
    <cfRule type="expression" dxfId="1190" priority="2">
      <formula>LEN(TRIM(F44))&gt;0</formula>
    </cfRule>
  </conditionalFormatting>
  <conditionalFormatting sqref="D52">
    <cfRule type="cellIs" dxfId="1189" priority="3" operator="equal">
      <formula>"SI"</formula>
    </cfRule>
    <cfRule type="cellIs" dxfId="1188" priority="4" operator="equal">
      <formula>"NO"</formula>
    </cfRule>
  </conditionalFormatting>
  <dataValidations count="1">
    <dataValidation type="list" operator="equal" allowBlank="1" showErrorMessage="1" errorTitle="Error" error="Debe seleccionar un tipo dentro del desplegable." sqref="D8:D42">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L138"/>
  <sheetViews>
    <sheetView topLeftCell="A118" zoomScale="160" zoomScaleNormal="160" workbookViewId="0">
      <selection activeCell="D103" sqref="D103"/>
    </sheetView>
  </sheetViews>
  <sheetFormatPr baseColWidth="10" defaultColWidth="11.54296875" defaultRowHeight="12.5"/>
  <cols>
    <col min="1" max="1" width="6.36328125" style="84" customWidth="1"/>
    <col min="2" max="2" width="16.08984375" style="14" customWidth="1"/>
    <col min="3" max="3" width="64.08984375" style="14" customWidth="1"/>
    <col min="4" max="4" width="18.36328125" style="84" customWidth="1"/>
    <col min="5" max="5" width="6.3632812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453125" style="14" customWidth="1"/>
    <col min="14" max="14" width="12.36328125" style="14" customWidth="1"/>
    <col min="15"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65" customHeight="1">
      <c r="B7" s="18"/>
      <c r="C7" s="18"/>
      <c r="D7" s="18"/>
      <c r="E7" s="79"/>
      <c r="F7" s="18"/>
      <c r="G7" s="18"/>
      <c r="H7" s="18"/>
      <c r="I7" s="18"/>
      <c r="J7" s="18"/>
      <c r="K7" s="18"/>
      <c r="L7" s="18"/>
      <c r="M7" s="18"/>
      <c r="N7" s="18"/>
      <c r="O7" s="18"/>
    </row>
    <row r="8" spans="1:64" ht="18.899999999999999" customHeight="1">
      <c r="B8" s="82" t="s">
        <v>84</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9</v>
      </c>
      <c r="H12" s="42">
        <f ca="1">IF(($G$15+$K$15)=0,0,G12/($G$15+$K$15))</f>
        <v>0.33333333333333331</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18</v>
      </c>
      <c r="H14" s="42">
        <f ca="1">IF(($G$15+$K$15)=0,0,G14/($G$15+$K$15))</f>
        <v>0.66666666666666663</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27</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Home</v>
      </c>
      <c r="C19" s="174" t="str" cm="1">
        <f t="array" ref="C19">IFERROR(INDEX('03.Muestra'!$F$8:$F$42,SMALL(IF("Página Web"='03.Muestra'!$D$8:$D$42,ROW('03.Muestra'!$F$8:$F$42)-MIN(ROW('03.Muestra'!$D$8:$D$42))+1,""),ROW()-18)),"")</f>
        <v>https://www.comunidad.madrid/hospital/12octubre/</v>
      </c>
      <c r="D19" s="99" t="s">
        <v>92</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Ciudadanos</v>
      </c>
      <c r="C20" s="174" t="str" cm="1">
        <f t="array" ref="C20">IFERROR(INDEX('03.Muestra'!$F$8:$F$42,SMALL(IF("Página Web"='03.Muestra'!$D$8:$D$42,ROW('03.Muestra'!$F$8:$F$42)-MIN(ROW('03.Muestra'!$D$8:$D$42))+1,""),ROW()-18)),"")</f>
        <v>https://www.comunidad.madrid/hospital/12octubre/ciudadanos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9</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Profesionales</v>
      </c>
      <c r="C21" s="174" t="str" cm="1">
        <f t="array" ref="C21">IFERROR(INDEX('03.Muestra'!$F$8:$F$42,SMALL(IF("Página Web"='03.Muestra'!$D$8:$D$42,ROW('03.Muestra'!$F$8:$F$42)-MIN(ROW('03.Muestra'!$D$8:$D$42))+1,""),ROW()-18)),"")</f>
        <v>https://www.comunidad.madrid/hospital/12octubre/profesionales</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Comunicación</v>
      </c>
      <c r="C22" s="174" t="str" cm="1">
        <f t="array" ref="C22">IFERROR(INDEX('03.Muestra'!$F$8:$F$42,SMALL(IF("Página Web"='03.Muestra'!$D$8:$D$42,ROW('03.Muestra'!$F$8:$F$42)-MIN(ROW('03.Muestra'!$D$8:$D$42))+1,""),ROW()-18)),"")</f>
        <v>https://www.comunidad.madrid/hospital/12octubre/comunicación</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Nosotros</v>
      </c>
      <c r="C23" s="174" t="str" cm="1">
        <f t="array" ref="C23">IFERROR(INDEX('03.Muestra'!$F$8:$F$42,SMALL(IF("Página Web"='03.Muestra'!$D$8:$D$42,ROW('03.Muestra'!$F$8:$F$42)-MIN(ROW('03.Muestra'!$D$8:$D$42))+1,""),ROW()-18)),"")</f>
        <v>https://www.comunidad.madrid/hospital/12octubre/nosotros</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Centros de especialidades</v>
      </c>
      <c r="C24" s="174" t="str" cm="1">
        <f t="array" ref="C24">IFERROR(INDEX('03.Muestra'!$F$8:$F$42,SMALL(IF("Página Web"='03.Muestra'!$D$8:$D$42,ROW('03.Muestra'!$F$8:$F$42)-MIN(ROW('03.Muestra'!$D$8:$D$42))+1,""),ROW()-18)),"")</f>
        <v>https://www.comunidad.madrid/hospital/12octubre/nosotros/centros-especialidades-perifericos</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Canal solidario</v>
      </c>
      <c r="C25" s="174" t="str" cm="1">
        <f t="array" ref="C25">IFERROR(INDEX('03.Muestra'!$F$8:$F$42,SMALL(IF("Página Web"='03.Muestra'!$D$8:$D$42,ROW('03.Muestra'!$F$8:$F$42)-MIN(ROW('03.Muestra'!$D$8:$D$42))+1,""),ROW()-18)),"")</f>
        <v>https://www.comunidad.madrid/hospital/12octubre/ciudadanos/canal-solidario</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Aniversario</v>
      </c>
      <c r="C26" s="174" t="str" cm="1">
        <f t="array" ref="C26">IFERROR(INDEX('03.Muestra'!$F$8:$F$42,SMALL(IF("Página Web"='03.Muestra'!$D$8:$D$42,ROW('03.Muestra'!$F$8:$F$42)-MIN(ROW('03.Muestra'!$D$8:$D$42))+1,""),ROW()-18)),"")</f>
        <v>https://www.comunidad.madrid/hospital/12octubre/50-aniversario</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Accesibilidad</v>
      </c>
      <c r="C27" s="174" t="str" cm="1">
        <f t="array" ref="C27">IFERROR(INDEX('03.Muestra'!$F$8:$F$42,SMALL(IF("Página Web"='03.Muestra'!$D$8:$D$42,ROW('03.Muestra'!$F$8:$F$42)-MIN(ROW('03.Muestra'!$D$8:$D$42))+1,""),ROW()-18)),"")</f>
        <v>https://www.comunidad.madrid/hospital/12octubre/declaracion-accesibilidad</v>
      </c>
      <c r="D27" s="99" t="s">
        <v>92</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174" t="str" cm="1">
        <f t="array" ref="B28">IFERROR(INDEX('03.Muestra'!$C$8:$C$42,SMALL(IF("Página Web"='03.Muestra'!$D$8:$D$42,ROW('03.Muestra'!$C$8:$C$42)-MIN(ROW('03.Muestra'!$D$8:$D$42))+1,""),ROW()-18)),"")</f>
        <v/>
      </c>
      <c r="C28" s="174" t="str" cm="1">
        <f t="array" ref="C28">IFERROR(INDEX('03.Muestra'!$F$8:$F$42,SMALL(IF("Página Web"='03.Muestra'!$D$8:$D$42,ROW('03.Muestra'!$F$8:$F$42)-MIN(ROW('03.Muestra'!$D$8:$D$42))+1,""),ROW()-18)),"")</f>
        <v/>
      </c>
      <c r="D28" s="99" t="str">
        <f t="shared" ref="D28:D53" si="1">IF(AND(B28&lt;&gt;"",C28&lt;&gt;""),"N/T","")</f>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174" t="str" cm="1">
        <f t="array" ref="B29">IFERROR(INDEX('03.Muestra'!$C$8:$C$42,SMALL(IF("Página Web"='03.Muestra'!$D$8:$D$42,ROW('03.Muestra'!$C$8:$C$42)-MIN(ROW('03.Muestra'!$D$8:$D$42))+1,""),ROW()-18)),"")</f>
        <v/>
      </c>
      <c r="C29" s="174"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Home</v>
      </c>
      <c r="C57" s="175" t="str" cm="1">
        <f t="array" ref="C57">IFERROR(INDEX('03.Muestra'!$F$8:$F$42,SMALL(IF("Página Web"='03.Muestra'!$D$8:$D$42,ROW('03.Muestra'!$F$8:$F$42)-MIN(ROW('03.Muestra'!$D$8:$D$42))+1,""),ROW()-56)),"")</f>
        <v>https://www.comunidad.madrid/hospital/12octubre/</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Ciudadanos</v>
      </c>
      <c r="C58" s="175" t="str" cm="1">
        <f t="array" ref="C58">IFERROR(INDEX('03.Muestra'!$F$8:$F$42,SMALL(IF("Página Web"='03.Muestra'!$D$8:$D$42,ROW('03.Muestra'!$F$8:$F$42)-MIN(ROW('03.Muestra'!$D$8:$D$42))+1,""),ROW()-56)),"")</f>
        <v>https://www.comunidad.madrid/hospital/12octubre/ciudadanos</v>
      </c>
      <c r="D58" s="99" t="s">
        <v>104</v>
      </c>
      <c r="E58" s="79" t="str">
        <f t="shared" si="2"/>
        <v/>
      </c>
      <c r="F58" s="91">
        <f ca="1">COUNTIF($D57:INDIRECT("$D" &amp;  SUM(ROW()-1,'03.Muestra'!$D$45)-1),F57)</f>
        <v>0</v>
      </c>
      <c r="G58" s="91">
        <f ca="1">COUNTIF($D57:INDIRECT("$D" &amp;  SUM(ROW()-1,'03.Muestra'!$D$45)-1),G57)</f>
        <v>0</v>
      </c>
      <c r="H58" s="91">
        <f ca="1">COUNTIF($D57:INDIRECT("$D" &amp;  SUM(ROW()-1,'03.Muestra'!$D$45)-1),H57)</f>
        <v>9</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Profesionales</v>
      </c>
      <c r="C59" s="175" t="str" cm="1">
        <f t="array" ref="C59">IFERROR(INDEX('03.Muestra'!$F$8:$F$42,SMALL(IF("Página Web"='03.Muestra'!$D$8:$D$42,ROW('03.Muestra'!$F$8:$F$42)-MIN(ROW('03.Muestra'!$D$8:$D$42))+1,""),ROW()-56)),"")</f>
        <v>https://www.comunidad.madrid/hospital/12octubre/profesionales</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Comunicación</v>
      </c>
      <c r="C60" s="175" t="str" cm="1">
        <f t="array" ref="C60">IFERROR(INDEX('03.Muestra'!$F$8:$F$42,SMALL(IF("Página Web"='03.Muestra'!$D$8:$D$42,ROW('03.Muestra'!$F$8:$F$42)-MIN(ROW('03.Muestra'!$D$8:$D$42))+1,""),ROW()-56)),"")</f>
        <v>https://www.comunidad.madrid/hospital/12octubre/comunicación</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Nosotros</v>
      </c>
      <c r="C61" s="175" t="str" cm="1">
        <f t="array" ref="C61">IFERROR(INDEX('03.Muestra'!$F$8:$F$42,SMALL(IF("Página Web"='03.Muestra'!$D$8:$D$42,ROW('03.Muestra'!$F$8:$F$42)-MIN(ROW('03.Muestra'!$D$8:$D$42))+1,""),ROW()-56)),"")</f>
        <v>https://www.comunidad.madrid/hospital/12octubre/nosotros</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Centros de especialidades</v>
      </c>
      <c r="C62" s="175" t="str" cm="1">
        <f t="array" ref="C62">IFERROR(INDEX('03.Muestra'!$F$8:$F$42,SMALL(IF("Página Web"='03.Muestra'!$D$8:$D$42,ROW('03.Muestra'!$F$8:$F$42)-MIN(ROW('03.Muestra'!$D$8:$D$42))+1,""),ROW()-56)),"")</f>
        <v>https://www.comunidad.madrid/hospital/12octubre/nosotros/centros-especialidades-perifericos</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Canal solidario</v>
      </c>
      <c r="C63" s="175" t="str" cm="1">
        <f t="array" ref="C63">IFERROR(INDEX('03.Muestra'!$F$8:$F$42,SMALL(IF("Página Web"='03.Muestra'!$D$8:$D$42,ROW('03.Muestra'!$F$8:$F$42)-MIN(ROW('03.Muestra'!$D$8:$D$42))+1,""),ROW()-56)),"")</f>
        <v>https://www.comunidad.madrid/hospital/12octubre/ciudadanos/canal-solidario</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Aniversario</v>
      </c>
      <c r="C64" s="175" t="str" cm="1">
        <f t="array" ref="C64">IFERROR(INDEX('03.Muestra'!$F$8:$F$42,SMALL(IF("Página Web"='03.Muestra'!$D$8:$D$42,ROW('03.Muestra'!$F$8:$F$42)-MIN(ROW('03.Muestra'!$D$8:$D$42))+1,""),ROW()-56)),"")</f>
        <v>https://www.comunidad.madrid/hospital/12octubre/50-aniversario</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Accesibilidad</v>
      </c>
      <c r="C65" s="175" t="str" cm="1">
        <f t="array" ref="C65">IFERROR(INDEX('03.Muestra'!$F$8:$F$42,SMALL(IF("Página Web"='03.Muestra'!$D$8:$D$42,ROW('03.Muestra'!$F$8:$F$42)-MIN(ROW('03.Muestra'!$D$8:$D$42))+1,""),ROW()-56)),"")</f>
        <v>https://www.comunidad.madrid/hospital/12octubre/declaracion-accesibilidad</v>
      </c>
      <c r="D65" s="99" t="s">
        <v>104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t="str" cm="1">
        <f t="array" ref="A66">IFERROR(INDEX('03.Muestra'!$B$8:$B$42,SMALL(IF("Página Web"='03.Muestra'!$D$8:$D$42,ROW('03.Muestra'!$B$8:$B$42)-MIN(ROW('03.Muestra'!$D$8:$D$42))+1,""),ROW()-56)),"")</f>
        <v/>
      </c>
      <c r="B66" s="175" t="str" cm="1">
        <f t="array" ref="B66">IFERROR(INDEX('03.Muestra'!$C$8:$C$42,SMALL(IF("Página Web"='03.Muestra'!$D$8:$D$42,ROW('03.Muestra'!$C$8:$C$42)-MIN(ROW('03.Muestra'!$D$8:$D$42))+1,""),ROW()-56)),"")</f>
        <v/>
      </c>
      <c r="C66" s="175" t="str" cm="1">
        <f t="array" ref="C66">IFERROR(INDEX('03.Muestra'!$F$8:$F$42,SMALL(IF("Página Web"='03.Muestra'!$D$8:$D$42,ROW('03.Muestra'!$F$8:$F$42)-MIN(ROW('03.Muestra'!$D$8:$D$42))+1,""),ROW()-56)),"")</f>
        <v/>
      </c>
      <c r="D66" s="99" t="str">
        <f t="shared" ref="D66:D91" si="3">IF(AND(B66&lt;&gt;"",C66&lt;&gt;""),"N/T","")</f>
        <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t="str" cm="1">
        <f t="array" ref="A67">IFERROR(INDEX('03.Muestra'!$B$8:$B$42,SMALL(IF("Página Web"='03.Muestra'!$D$8:$D$42,ROW('03.Muestra'!$B$8:$B$42)-MIN(ROW('03.Muestra'!$D$8:$D$42))+1,""),ROW()-56)),"")</f>
        <v/>
      </c>
      <c r="B67" s="175" t="str" cm="1">
        <f t="array" ref="B67">IFERROR(INDEX('03.Muestra'!$C$8:$C$42,SMALL(IF("Página Web"='03.Muestra'!$D$8:$D$42,ROW('03.Muestra'!$C$8:$C$42)-MIN(ROW('03.Muestra'!$D$8:$D$42))+1,""),ROW()-56)),"")</f>
        <v/>
      </c>
      <c r="C67" s="175" t="str" cm="1">
        <f t="array" ref="C67">IFERROR(INDEX('03.Muestra'!$F$8:$F$42,SMALL(IF("Página Web"='03.Muestra'!$D$8:$D$42,ROW('03.Muestra'!$F$8:$F$42)-MIN(ROW('03.Muestra'!$D$8:$D$42))+1,""),ROW()-56)),"")</f>
        <v/>
      </c>
      <c r="D67" s="99" t="str">
        <f t="shared" si="3"/>
        <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si="3"/>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Home</v>
      </c>
      <c r="C95" s="175" t="str" cm="1">
        <f t="array" ref="C95">IFERROR(INDEX('03.Muestra'!$F$8:$F$42,SMALL(IF("Página Web"='03.Muestra'!$D$8:$D$42,ROW('03.Muestra'!$F$8:$F$42)-MIN(ROW('03.Muestra'!$D$8:$D$42))+1,""),ROW()-94)),"")</f>
        <v>https://www.comunidad.madrid/hospital/12octubre/</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Ciudadanos</v>
      </c>
      <c r="C96" s="175" t="str" cm="1">
        <f t="array" ref="C96">IFERROR(INDEX('03.Muestra'!$F$8:$F$42,SMALL(IF("Página Web"='03.Muestra'!$D$8:$D$42,ROW('03.Muestra'!$F$8:$F$42)-MIN(ROW('03.Muestra'!$D$8:$D$42))+1,""),ROW()-94)),"")</f>
        <v>https://www.comunidad.madrid/hospital/12octubre/ciudadanos</v>
      </c>
      <c r="D96" s="99" t="s">
        <v>104</v>
      </c>
      <c r="E96" s="79" t="str">
        <f t="shared" si="4"/>
        <v/>
      </c>
      <c r="F96" s="91">
        <f ca="1">COUNTIF($D95:INDIRECT("$D" &amp;  SUM(ROW()-1,'03.Muestra'!$D$45)-1),F95)</f>
        <v>0</v>
      </c>
      <c r="G96" s="91">
        <f ca="1">COUNTIF($D95:INDIRECT("$D" &amp;  SUM(ROW()-1,'03.Muestra'!$D$45)-1),G95)</f>
        <v>0</v>
      </c>
      <c r="H96" s="91">
        <f ca="1">COUNTIF($D95:INDIRECT("$D" &amp;  SUM(ROW()-1,'03.Muestra'!$D$45)-1),H95)</f>
        <v>9</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Profesionales</v>
      </c>
      <c r="C97" s="175" t="str" cm="1">
        <f t="array" ref="C97">IFERROR(INDEX('03.Muestra'!$F$8:$F$42,SMALL(IF("Página Web"='03.Muestra'!$D$8:$D$42,ROW('03.Muestra'!$F$8:$F$42)-MIN(ROW('03.Muestra'!$D$8:$D$42))+1,""),ROW()-94)),"")</f>
        <v>https://www.comunidad.madrid/hospital/12octubre/profesionales</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Comunicación</v>
      </c>
      <c r="C98" s="175" t="str" cm="1">
        <f t="array" ref="C98">IFERROR(INDEX('03.Muestra'!$F$8:$F$42,SMALL(IF("Página Web"='03.Muestra'!$D$8:$D$42,ROW('03.Muestra'!$F$8:$F$42)-MIN(ROW('03.Muestra'!$D$8:$D$42))+1,""),ROW()-94)),"")</f>
        <v>https://www.comunidad.madrid/hospital/12octubre/comunicación</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Nosotros</v>
      </c>
      <c r="C99" s="175" t="str" cm="1">
        <f t="array" ref="C99">IFERROR(INDEX('03.Muestra'!$F$8:$F$42,SMALL(IF("Página Web"='03.Muestra'!$D$8:$D$42,ROW('03.Muestra'!$F$8:$F$42)-MIN(ROW('03.Muestra'!$D$8:$D$42))+1,""),ROW()-94)),"")</f>
        <v>https://www.comunidad.madrid/hospital/12octubre/nosotros</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Centros de especialidades</v>
      </c>
      <c r="C100" s="175" t="str" cm="1">
        <f t="array" ref="C100">IFERROR(INDEX('03.Muestra'!$F$8:$F$42,SMALL(IF("Página Web"='03.Muestra'!$D$8:$D$42,ROW('03.Muestra'!$F$8:$F$42)-MIN(ROW('03.Muestra'!$D$8:$D$42))+1,""),ROW()-94)),"")</f>
        <v>https://www.comunidad.madrid/hospital/12octubre/nosotros/centros-especialidades-perifericos</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Canal solidario</v>
      </c>
      <c r="C101" s="175" t="str" cm="1">
        <f t="array" ref="C101">IFERROR(INDEX('03.Muestra'!$F$8:$F$42,SMALL(IF("Página Web"='03.Muestra'!$D$8:$D$42,ROW('03.Muestra'!$F$8:$F$42)-MIN(ROW('03.Muestra'!$D$8:$D$42))+1,""),ROW()-94)),"")</f>
        <v>https://www.comunidad.madrid/hospital/12octubre/ciudadanos/canal-solidario</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Aniversario</v>
      </c>
      <c r="C102" s="175" t="str" cm="1">
        <f t="array" ref="C102">IFERROR(INDEX('03.Muestra'!$F$8:$F$42,SMALL(IF("Página Web"='03.Muestra'!$D$8:$D$42,ROW('03.Muestra'!$F$8:$F$42)-MIN(ROW('03.Muestra'!$D$8:$D$42))+1,""),ROW()-94)),"")</f>
        <v>https://www.comunidad.madrid/hospital/12octubre/50-aniversario</v>
      </c>
      <c r="D102" s="99" t="s">
        <v>104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Accesibilidad</v>
      </c>
      <c r="C103" s="175" t="str" cm="1">
        <f t="array" ref="C103">IFERROR(INDEX('03.Muestra'!$F$8:$F$42,SMALL(IF("Página Web"='03.Muestra'!$D$8:$D$42,ROW('03.Muestra'!$F$8:$F$42)-MIN(ROW('03.Muestra'!$D$8:$D$42))+1,""),ROW()-94)),"")</f>
        <v>https://www.comunidad.madrid/hospital/12octubre/declaracion-accesibilidad</v>
      </c>
      <c r="D103" s="99" t="s">
        <v>104</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t="str" cm="1">
        <f t="array" ref="A104">IFERROR(INDEX('03.Muestra'!$B$8:$B$42,SMALL(IF("Página Web"='03.Muestra'!$D$8:$D$42,ROW('03.Muestra'!$B$8:$B$42)-MIN(ROW('03.Muestra'!$D$8:$D$42))+1,""),ROW()-94)),"")</f>
        <v/>
      </c>
      <c r="B104" s="175" t="str" cm="1">
        <f t="array" ref="B104">IFERROR(INDEX('03.Muestra'!$C$8:$C$42,SMALL(IF("Página Web"='03.Muestra'!$D$8:$D$42,ROW('03.Muestra'!$C$8:$C$42)-MIN(ROW('03.Muestra'!$D$8:$D$42))+1,""),ROW()-94)),"")</f>
        <v/>
      </c>
      <c r="C104" s="175" t="str" cm="1">
        <f t="array" ref="C104">IFERROR(INDEX('03.Muestra'!$F$8:$F$42,SMALL(IF("Página Web"='03.Muestra'!$D$8:$D$42,ROW('03.Muestra'!$F$8:$F$42)-MIN(ROW('03.Muestra'!$D$8:$D$42))+1,""),ROW()-94)),"")</f>
        <v/>
      </c>
      <c r="D104" s="99" t="str">
        <f t="shared" ref="D104:D129" si="5">IF(AND(B104&lt;&gt;"",C104&lt;&gt;""),"N/T","")</f>
        <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t="str" cm="1">
        <f t="array" ref="A105">IFERROR(INDEX('03.Muestra'!$B$8:$B$42,SMALL(IF("Página Web"='03.Muestra'!$D$8:$D$42,ROW('03.Muestra'!$B$8:$B$42)-MIN(ROW('03.Muestra'!$D$8:$D$42))+1,""),ROW()-94)),"")</f>
        <v/>
      </c>
      <c r="B105" s="175" t="str" cm="1">
        <f t="array" ref="B105">IFERROR(INDEX('03.Muestra'!$C$8:$C$42,SMALL(IF("Página Web"='03.Muestra'!$D$8:$D$42,ROW('03.Muestra'!$C$8:$C$42)-MIN(ROW('03.Muestra'!$D$8:$D$42))+1,""),ROW()-94)),"")</f>
        <v/>
      </c>
      <c r="C105" s="175" t="str" cm="1">
        <f t="array" ref="C105">IFERROR(INDEX('03.Muestra'!$F$8:$F$42,SMALL(IF("Página Web"='03.Muestra'!$D$8:$D$42,ROW('03.Muestra'!$F$8:$F$42)-MIN(ROW('03.Muestra'!$D$8:$D$42))+1,""),ROW()-94)),"")</f>
        <v/>
      </c>
      <c r="D105" s="99" t="str">
        <f t="shared" si="5"/>
        <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si="5"/>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E57:E91 E95:E129 E19:E53">
    <cfRule type="cellIs" dxfId="1187" priority="154" stopIfTrue="1" operator="equal">
      <formula>"ERR"</formula>
    </cfRule>
  </conditionalFormatting>
  <conditionalFormatting sqref="D19:D53 D57:D91 D95:D129 F19:J19 F57:J57 F95:J95">
    <cfRule type="expression" dxfId="1186" priority="148" stopIfTrue="1">
      <formula>ISBLANK(D19)</formula>
    </cfRule>
    <cfRule type="cellIs" dxfId="1185" priority="149" stopIfTrue="1" operator="equal">
      <formula>"Pasa"</formula>
    </cfRule>
    <cfRule type="cellIs" dxfId="1184" priority="150" stopIfTrue="1" operator="equal">
      <formula>"Falla"</formula>
    </cfRule>
    <cfRule type="cellIs" dxfId="1183" priority="151" stopIfTrue="1" operator="equal">
      <formula>"N/A"</formula>
    </cfRule>
    <cfRule type="cellIs" dxfId="1182" priority="152" stopIfTrue="1" operator="equal">
      <formula>"N/T"</formula>
    </cfRule>
    <cfRule type="cellIs" dxfId="1181" priority="153" stopIfTrue="1" operator="equal">
      <formula>"N/D"</formula>
    </cfRule>
  </conditionalFormatting>
  <conditionalFormatting sqref="D1:D8 D10:D1048576">
    <cfRule type="cellIs" dxfId="1180" priority="20" stopIfTrue="1" operator="equal">
      <formula>"-"</formula>
    </cfRule>
  </conditionalFormatting>
  <conditionalFormatting sqref="K23">
    <cfRule type="expression" dxfId="1179" priority="7" stopIfTrue="1">
      <formula>ISBLANK(K23)</formula>
    </cfRule>
    <cfRule type="cellIs" dxfId="1178" priority="8" stopIfTrue="1" operator="equal">
      <formula>"Pasa"</formula>
    </cfRule>
    <cfRule type="cellIs" dxfId="1177" priority="9" stopIfTrue="1" operator="equal">
      <formula>"Falla"</formula>
    </cfRule>
    <cfRule type="cellIs" dxfId="1176" priority="10" stopIfTrue="1" operator="equal">
      <formula>"N/A"</formula>
    </cfRule>
    <cfRule type="cellIs" dxfId="1175" priority="11" stopIfTrue="1" operator="equal">
      <formula>"N/T"</formula>
    </cfRule>
    <cfRule type="cellIs" dxfId="1174" priority="12" stopIfTrue="1" operator="equal">
      <formula>"N/D"</formula>
    </cfRule>
  </conditionalFormatting>
  <conditionalFormatting sqref="K24">
    <cfRule type="expression" dxfId="1173" priority="1" stopIfTrue="1">
      <formula>ISBLANK(K24)</formula>
    </cfRule>
    <cfRule type="cellIs" dxfId="1172" priority="2" stopIfTrue="1" operator="equal">
      <formula>"Pasa"</formula>
    </cfRule>
    <cfRule type="cellIs" dxfId="1171" priority="3" stopIfTrue="1" operator="equal">
      <formula>"Falla"</formula>
    </cfRule>
    <cfRule type="cellIs" dxfId="1170" priority="4" stopIfTrue="1" operator="equal">
      <formula>"N/A"</formula>
    </cfRule>
    <cfRule type="cellIs" dxfId="1169" priority="5" stopIfTrue="1" operator="equal">
      <formula>"N/T"</formula>
    </cfRule>
    <cfRule type="cellIs" dxfId="116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L746"/>
  <sheetViews>
    <sheetView topLeftCell="A668" zoomScale="131" zoomScaleNormal="131" workbookViewId="0">
      <selection activeCell="D711" sqref="D711"/>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110</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65"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1</v>
      </c>
      <c r="H13" s="42">
        <f ca="1">IF(($G$15+$K$15)=0,0,G13/($G$15+$K$15))</f>
        <v>5.8479532163742687E-3</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170</v>
      </c>
      <c r="H14" s="42">
        <f ca="1">IF(($G$15+$K$15)=0,0,G14/($G$15+$K$15))</f>
        <v>0.99415204678362568</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171</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https://www.comunidad.madrid/hospital/12octubre/</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https://www.comunidad.madrid/hospital/12octubre/ciudadanos</v>
      </c>
      <c r="D20" s="99" t="s">
        <v>104</v>
      </c>
      <c r="E20" s="79" t="str">
        <f t="shared" si="0"/>
        <v/>
      </c>
      <c r="F20" s="91">
        <f ca="1">COUNTIF($D19:INDIRECT("$D" &amp;  SUM(ROW()-1,'03.Muestra'!$D$45)-1),F19)</f>
        <v>0</v>
      </c>
      <c r="G20" s="91">
        <f ca="1">COUNTIF($D19:INDIRECT("$D" &amp;  SUM(ROW()-1,'03.Muestra'!$D$45)-1),G19)</f>
        <v>0</v>
      </c>
      <c r="H20" s="91">
        <f ca="1">COUNTIF($D19:INDIRECT("$D" &amp;  SUM(ROW()-1,'03.Muestra'!$D$45)-1),H19)</f>
        <v>9</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https://www.comunidad.madrid/hospital/12octubre/profesionales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https://www.comunidad.madrid/hospital/12octubre/comunicación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https://www.comunidad.madrid/hospital/12octubre/nosotros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Centros de especialidades</v>
      </c>
      <c r="C24" s="85" t="str" cm="1">
        <f t="array" ref="C24">IFERROR(INDEX('03.Muestra'!$F$8:$F$42,SMALL(IF("Página Web"='03.Muestra'!$D$8:$D$42,ROW('03.Muestra'!$F$8:$F$42)-MIN(ROW('03.Muestra'!$D$8:$D$42))+1,""),ROW()-18)),"")</f>
        <v>https://www.comunidad.madrid/hospital/12octubre/nosotros/centros-especialidades-perifericos</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Canal solidario</v>
      </c>
      <c r="C25" s="85" t="str" cm="1">
        <f t="array" ref="C25">IFERROR(INDEX('03.Muestra'!$F$8:$F$42,SMALL(IF("Página Web"='03.Muestra'!$D$8:$D$42,ROW('03.Muestra'!$F$8:$F$42)-MIN(ROW('03.Muestra'!$D$8:$D$42))+1,""),ROW()-18)),"")</f>
        <v>https://www.comunidad.madrid/hospital/12octubre/ciudadanos/canal-solidario</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Aniversario</v>
      </c>
      <c r="C26" s="85" t="str" cm="1">
        <f t="array" ref="C26">IFERROR(INDEX('03.Muestra'!$F$8:$F$42,SMALL(IF("Página Web"='03.Muestra'!$D$8:$D$42,ROW('03.Muestra'!$F$8:$F$42)-MIN(ROW('03.Muestra'!$D$8:$D$42))+1,""),ROW()-18)),"")</f>
        <v>https://www.comunidad.madrid/hospital/12octubre/50-aniversario</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https://www.comunidad.madrid/hospital/12octubre/declaracion-accesibilidad</v>
      </c>
      <c r="D27" s="99" t="s">
        <v>104</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ref="D28:D53" si="1">IF(AND(B28&lt;&gt;"",C28&lt;&gt;""),"N/T","")</f>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https://www.comunidad.madrid/hospital/12octubre/</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https://www.comunidad.madrid/hospital/12octubre/ciudadanos</v>
      </c>
      <c r="D58" s="99" t="s">
        <v>104</v>
      </c>
      <c r="E58" s="79" t="str">
        <f t="shared" si="2"/>
        <v/>
      </c>
      <c r="F58" s="91">
        <f ca="1">COUNTIF($D57:INDIRECT("$D" &amp;  SUM(ROW()-1,'03.Muestra'!$D$45)-1),F57)</f>
        <v>0</v>
      </c>
      <c r="G58" s="91">
        <f ca="1">COUNTIF($D57:INDIRECT("$D" &amp;  SUM(ROW()-1,'03.Muestra'!$D$45)-1),G57)</f>
        <v>0</v>
      </c>
      <c r="H58" s="91">
        <f ca="1">COUNTIF($D57:INDIRECT("$D" &amp;  SUM(ROW()-1,'03.Muestra'!$D$45)-1),H57)</f>
        <v>9</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https://www.comunidad.madrid/hospital/12octubre/profesionales</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https://www.comunidad.madrid/hospital/12octubre/comunicación</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https://www.comunidad.madrid/hospital/12octubre/nosotros</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Centros de especialidades</v>
      </c>
      <c r="C62" s="85" t="str" cm="1">
        <f t="array" ref="C62">IFERROR(INDEX('03.Muestra'!$F$8:$F$42,SMALL(IF("Página Web"='03.Muestra'!$D$8:$D$42,ROW('03.Muestra'!$F$8:$F$42)-MIN(ROW('03.Muestra'!$D$8:$D$42))+1,""),ROW()-56)),"")</f>
        <v>https://www.comunidad.madrid/hospital/12octubre/nosotros/centros-especialidades-perifericos</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Canal solidario</v>
      </c>
      <c r="C63" s="85" t="str" cm="1">
        <f t="array" ref="C63">IFERROR(INDEX('03.Muestra'!$F$8:$F$42,SMALL(IF("Página Web"='03.Muestra'!$D$8:$D$42,ROW('03.Muestra'!$F$8:$F$42)-MIN(ROW('03.Muestra'!$D$8:$D$42))+1,""),ROW()-56)),"")</f>
        <v>https://www.comunidad.madrid/hospital/12octubre/ciudadanos/canal-solidario</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Aniversario</v>
      </c>
      <c r="C64" s="85" t="str" cm="1">
        <f t="array" ref="C64">IFERROR(INDEX('03.Muestra'!$F$8:$F$42,SMALL(IF("Página Web"='03.Muestra'!$D$8:$D$42,ROW('03.Muestra'!$F$8:$F$42)-MIN(ROW('03.Muestra'!$D$8:$D$42))+1,""),ROW()-56)),"")</f>
        <v>https://www.comunidad.madrid/hospital/12octubre/50-aniversario</v>
      </c>
      <c r="D64" s="99" t="s">
        <v>104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https://www.comunidad.madrid/hospital/12octubre/declaracion-accesibilidad</v>
      </c>
      <c r="D65" s="99" t="s">
        <v>104</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ref="D66:D91" si="3">IF(AND(B66&lt;&gt;"",C66&lt;&gt;""),"N/T","")</f>
        <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https://www.comunidad.madrid/hospital/12octubre/</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https://www.comunidad.madrid/hospital/12octubre/ciudadanos</v>
      </c>
      <c r="D96" s="99" t="s">
        <v>104</v>
      </c>
      <c r="E96" s="79" t="str">
        <f t="shared" si="4"/>
        <v/>
      </c>
      <c r="F96" s="91">
        <f ca="1">COUNTIF($D95:INDIRECT("$D" &amp;  SUM(ROW()-1,'03.Muestra'!$D$45)-1),F95)</f>
        <v>0</v>
      </c>
      <c r="G96" s="91">
        <f ca="1">COUNTIF($D95:INDIRECT("$D" &amp;  SUM(ROW()-1,'03.Muestra'!$D$45)-1),G95)</f>
        <v>0</v>
      </c>
      <c r="H96" s="91">
        <f ca="1">COUNTIF($D95:INDIRECT("$D" &amp;  SUM(ROW()-1,'03.Muestra'!$D$45)-1),H95)</f>
        <v>9</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https://www.comunidad.madrid/hospital/12octubre/profesionales</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https://www.comunidad.madrid/hospital/12octubre/comunicación</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https://www.comunidad.madrid/hospital/12octubre/nosotros</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Centros de especialidades</v>
      </c>
      <c r="C100" s="85" t="str" cm="1">
        <f t="array" ref="C100">IFERROR(INDEX('03.Muestra'!$F$8:$F$42,SMALL(IF("Página Web"='03.Muestra'!$D$8:$D$42,ROW('03.Muestra'!$F$8:$F$42)-MIN(ROW('03.Muestra'!$D$8:$D$42))+1,""),ROW()-94)),"")</f>
        <v>https://www.comunidad.madrid/hospital/12octubre/nosotros/centros-especialidades-perifericos</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Canal solidario</v>
      </c>
      <c r="C101" s="85" t="str" cm="1">
        <f t="array" ref="C101">IFERROR(INDEX('03.Muestra'!$F$8:$F$42,SMALL(IF("Página Web"='03.Muestra'!$D$8:$D$42,ROW('03.Muestra'!$F$8:$F$42)-MIN(ROW('03.Muestra'!$D$8:$D$42))+1,""),ROW()-94)),"")</f>
        <v>https://www.comunidad.madrid/hospital/12octubre/ciudadanos/canal-solidario</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Aniversario</v>
      </c>
      <c r="C102" s="85" t="str" cm="1">
        <f t="array" ref="C102">IFERROR(INDEX('03.Muestra'!$F$8:$F$42,SMALL(IF("Página Web"='03.Muestra'!$D$8:$D$42,ROW('03.Muestra'!$F$8:$F$42)-MIN(ROW('03.Muestra'!$D$8:$D$42))+1,""),ROW()-94)),"")</f>
        <v>https://www.comunidad.madrid/hospital/12octubre/50-aniversario</v>
      </c>
      <c r="D102" s="99" t="s">
        <v>104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https://www.comunidad.madrid/hospital/12octubre/declaracion-accesibilidad</v>
      </c>
      <c r="D103" s="99" t="s">
        <v>104</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ref="D104:D129" si="5">IF(AND(B104&lt;&gt;"",C104&lt;&gt;""),"N/T","")</f>
        <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https://www.comunidad.madrid/hospital/12octubre/</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https://www.comunidad.madrid/hospital/12octubre/ciudadanos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9</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https://www.comunidad.madrid/hospital/12octubre/profesionales</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https://www.comunidad.madrid/hospital/12octubre/comunicación</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https://www.comunidad.madrid/hospital/12octubre/nosotros</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Centros de especialidades</v>
      </c>
      <c r="C138" s="85" t="str" cm="1">
        <f t="array" ref="C138">IFERROR(INDEX('03.Muestra'!$F$8:$F$42,SMALL(IF("Página Web"='03.Muestra'!$D$8:$D$42,ROW('03.Muestra'!$F$8:$F$42)-MIN(ROW('03.Muestra'!$D$8:$D$42))+1,""),ROW()-132)),"")</f>
        <v>https://www.comunidad.madrid/hospital/12octubre/nosotros/centros-especialidades-perifericos</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Canal solidario</v>
      </c>
      <c r="C139" s="85" t="str" cm="1">
        <f t="array" ref="C139">IFERROR(INDEX('03.Muestra'!$F$8:$F$42,SMALL(IF("Página Web"='03.Muestra'!$D$8:$D$42,ROW('03.Muestra'!$F$8:$F$42)-MIN(ROW('03.Muestra'!$D$8:$D$42))+1,""),ROW()-132)),"")</f>
        <v>https://www.comunidad.madrid/hospital/12octubre/ciudadanos/canal-solidario</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Aniversario</v>
      </c>
      <c r="C140" s="85" t="str" cm="1">
        <f t="array" ref="C140">IFERROR(INDEX('03.Muestra'!$F$8:$F$42,SMALL(IF("Página Web"='03.Muestra'!$D$8:$D$42,ROW('03.Muestra'!$F$8:$F$42)-MIN(ROW('03.Muestra'!$D$8:$D$42))+1,""),ROW()-132)),"")</f>
        <v>https://www.comunidad.madrid/hospital/12octubre/50-aniversario</v>
      </c>
      <c r="D140" s="99" t="s">
        <v>104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https://www.comunidad.madrid/hospital/12octubre/declaracion-accesibilidad</v>
      </c>
      <c r="D141" s="99" t="s">
        <v>104</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ref="D142:D167" si="7">IF(AND(B142&lt;&gt;"",C142&lt;&gt;""),"N/T","")</f>
        <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https://www.comunidad.madrid/hospital/12octubre/</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https://www.comunidad.madrid/hospital/12octubre/ciudadanos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9</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https://www.comunidad.madrid/hospital/12octubre/profesionales</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https://www.comunidad.madrid/hospital/12octubre/comunicación</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https://www.comunidad.madrid/hospital/12octubre/nosotros</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Centros de especialidades</v>
      </c>
      <c r="C176" s="85" t="str" cm="1">
        <f t="array" ref="C176">IFERROR(INDEX('03.Muestra'!$F$8:$F$42,SMALL(IF("Página Web"='03.Muestra'!$D$8:$D$42,ROW('03.Muestra'!$F$8:$F$42)-MIN(ROW('03.Muestra'!$D$8:$D$42))+1,""),ROW()-170)),"")</f>
        <v>https://www.comunidad.madrid/hospital/12octubre/nosotros/centros-especialidades-perifericos</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Canal solidario</v>
      </c>
      <c r="C177" s="85" t="str" cm="1">
        <f t="array" ref="C177">IFERROR(INDEX('03.Muestra'!$F$8:$F$42,SMALL(IF("Página Web"='03.Muestra'!$D$8:$D$42,ROW('03.Muestra'!$F$8:$F$42)-MIN(ROW('03.Muestra'!$D$8:$D$42))+1,""),ROW()-170)),"")</f>
        <v>https://www.comunidad.madrid/hospital/12octubre/ciudadanos/canal-solidario</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Aniversario</v>
      </c>
      <c r="C178" s="85" t="str" cm="1">
        <f t="array" ref="C178">IFERROR(INDEX('03.Muestra'!$F$8:$F$42,SMALL(IF("Página Web"='03.Muestra'!$D$8:$D$42,ROW('03.Muestra'!$F$8:$F$42)-MIN(ROW('03.Muestra'!$D$8:$D$42))+1,""),ROW()-170)),"")</f>
        <v>https://www.comunidad.madrid/hospital/12octubre/50-aniversario</v>
      </c>
      <c r="D178" s="99" t="s">
        <v>104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https://www.comunidad.madrid/hospital/12octubre/declaracion-accesibilidad</v>
      </c>
      <c r="D179" s="99" t="s">
        <v>104</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ref="D180:D205" si="9">IF(AND(B180&lt;&gt;"",C180&lt;&gt;""),"N/T","")</f>
        <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https://www.comunidad.madrid/hospital/12octubre/</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https://www.comunidad.madrid/hospital/12octubre/ciudadanos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9</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https://www.comunidad.madrid/hospital/12octubre/profesionales</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https://www.comunidad.madrid/hospital/12octubre/comunicación</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https://www.comunidad.madrid/hospital/12octubre/nosotros</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Centros de especialidades</v>
      </c>
      <c r="C214" s="85" t="str" cm="1">
        <f t="array" ref="C214">IFERROR(INDEX('03.Muestra'!$F$8:$F$42,SMALL(IF("Página Web"='03.Muestra'!$D$8:$D$42,ROW('03.Muestra'!$F$8:$F$42)-MIN(ROW('03.Muestra'!$D$8:$D$42))+1,""),ROW()-208)),"")</f>
        <v>https://www.comunidad.madrid/hospital/12octubre/nosotros/centros-especialidades-perifericos</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Canal solidario</v>
      </c>
      <c r="C215" s="85" t="str" cm="1">
        <f t="array" ref="C215">IFERROR(INDEX('03.Muestra'!$F$8:$F$42,SMALL(IF("Página Web"='03.Muestra'!$D$8:$D$42,ROW('03.Muestra'!$F$8:$F$42)-MIN(ROW('03.Muestra'!$D$8:$D$42))+1,""),ROW()-208)),"")</f>
        <v>https://www.comunidad.madrid/hospital/12octubre/ciudadanos/canal-solidario</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Aniversario</v>
      </c>
      <c r="C216" s="85" t="str" cm="1">
        <f t="array" ref="C216">IFERROR(INDEX('03.Muestra'!$F$8:$F$42,SMALL(IF("Página Web"='03.Muestra'!$D$8:$D$42,ROW('03.Muestra'!$F$8:$F$42)-MIN(ROW('03.Muestra'!$D$8:$D$42))+1,""),ROW()-208)),"")</f>
        <v>https://www.comunidad.madrid/hospital/12octubre/50-aniversario</v>
      </c>
      <c r="D216" s="99" t="s">
        <v>104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https://www.comunidad.madrid/hospital/12octubre/declaracion-accesibilidad</v>
      </c>
      <c r="D217" s="99" t="s">
        <v>104</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ref="D218:D243" si="11">IF(AND(B218&lt;&gt;"",C218&lt;&gt;""),"N/T","")</f>
        <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https://www.comunidad.madrid/hospital/12octubre/</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https://www.comunidad.madrid/hospital/12octubre/ciudadanos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9</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https://www.comunidad.madrid/hospital/12octubre/profesionales</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https://www.comunidad.madrid/hospital/12octubre/comunicación</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https://www.comunidad.madrid/hospital/12octubre/nosotros</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Centros de especialidades</v>
      </c>
      <c r="C252" s="85" t="str" cm="1">
        <f t="array" ref="C252">IFERROR(INDEX('03.Muestra'!$F$8:$F$42,SMALL(IF("Página Web"='03.Muestra'!$D$8:$D$42,ROW('03.Muestra'!$F$8:$F$42)-MIN(ROW('03.Muestra'!$D$8:$D$42))+1,""),ROW()-246)),"")</f>
        <v>https://www.comunidad.madrid/hospital/12octubre/nosotros/centros-especialidades-perifericos</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Canal solidario</v>
      </c>
      <c r="C253" s="85" t="str" cm="1">
        <f t="array" ref="C253">IFERROR(INDEX('03.Muestra'!$F$8:$F$42,SMALL(IF("Página Web"='03.Muestra'!$D$8:$D$42,ROW('03.Muestra'!$F$8:$F$42)-MIN(ROW('03.Muestra'!$D$8:$D$42))+1,""),ROW()-246)),"")</f>
        <v>https://www.comunidad.madrid/hospital/12octubre/ciudadanos/canal-solidario</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Aniversario</v>
      </c>
      <c r="C254" s="85" t="str" cm="1">
        <f t="array" ref="C254">IFERROR(INDEX('03.Muestra'!$F$8:$F$42,SMALL(IF("Página Web"='03.Muestra'!$D$8:$D$42,ROW('03.Muestra'!$F$8:$F$42)-MIN(ROW('03.Muestra'!$D$8:$D$42))+1,""),ROW()-246)),"")</f>
        <v>https://www.comunidad.madrid/hospital/12octubre/50-aniversario</v>
      </c>
      <c r="D254" s="99" t="s">
        <v>104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Accesibilidad</v>
      </c>
      <c r="C255" s="85" t="str" cm="1">
        <f t="array" ref="C255">IFERROR(INDEX('03.Muestra'!$F$8:$F$42,SMALL(IF("Página Web"='03.Muestra'!$D$8:$D$42,ROW('03.Muestra'!$F$8:$F$42)-MIN(ROW('03.Muestra'!$D$8:$D$42))+1,""),ROW()-246)),"")</f>
        <v>https://www.comunidad.madrid/hospital/12octubre/declaracion-accesibilidad</v>
      </c>
      <c r="D255" s="99" t="s">
        <v>104</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ref="D256:D281" si="13">IF(AND(B256&lt;&gt;"",C256&lt;&gt;""),"N/T","")</f>
        <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https://www.comunidad.madrid/hospital/12octubre/</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https://www.comunidad.madrid/hospital/12octubre/ciudadanos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9</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https://www.comunidad.madrid/hospital/12octubre/profesionales</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https://www.comunidad.madrid/hospital/12octubre/comunicación</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https://www.comunidad.madrid/hospital/12octubre/nosotros</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Centros de especialidades</v>
      </c>
      <c r="C290" s="85" t="str" cm="1">
        <f t="array" ref="C290">IFERROR(INDEX('03.Muestra'!$F$8:$F$42,SMALL(IF("Página Web"='03.Muestra'!$D$8:$D$42,ROW('03.Muestra'!$F$8:$F$42)-MIN(ROW('03.Muestra'!$D$8:$D$42))+1,""),ROW()-284)),"")</f>
        <v>https://www.comunidad.madrid/hospital/12octubre/nosotros/centros-especialidades-perifericos</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Canal solidario</v>
      </c>
      <c r="C291" s="85" t="str" cm="1">
        <f t="array" ref="C291">IFERROR(INDEX('03.Muestra'!$F$8:$F$42,SMALL(IF("Página Web"='03.Muestra'!$D$8:$D$42,ROW('03.Muestra'!$F$8:$F$42)-MIN(ROW('03.Muestra'!$D$8:$D$42))+1,""),ROW()-284)),"")</f>
        <v>https://www.comunidad.madrid/hospital/12octubre/ciudadanos/canal-solidario</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Aniversario</v>
      </c>
      <c r="C292" s="85" t="str" cm="1">
        <f t="array" ref="C292">IFERROR(INDEX('03.Muestra'!$F$8:$F$42,SMALL(IF("Página Web"='03.Muestra'!$D$8:$D$42,ROW('03.Muestra'!$F$8:$F$42)-MIN(ROW('03.Muestra'!$D$8:$D$42))+1,""),ROW()-284)),"")</f>
        <v>https://www.comunidad.madrid/hospital/12octubre/50-aniversario</v>
      </c>
      <c r="D292" s="99" t="s">
        <v>104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Accesibilidad</v>
      </c>
      <c r="C293" s="85" t="str" cm="1">
        <f t="array" ref="C293">IFERROR(INDEX('03.Muestra'!$F$8:$F$42,SMALL(IF("Página Web"='03.Muestra'!$D$8:$D$42,ROW('03.Muestra'!$F$8:$F$42)-MIN(ROW('03.Muestra'!$D$8:$D$42))+1,""),ROW()-284)),"")</f>
        <v>https://www.comunidad.madrid/hospital/12octubre/declaracion-accesibilidad</v>
      </c>
      <c r="D293" s="99" t="s">
        <v>104</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ref="D294:D319" si="15">IF(AND(B294&lt;&gt;"",C294&lt;&gt;""),"N/T","")</f>
        <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https://www.comunidad.madrid/hospital/12octubre/</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https://www.comunidad.madrid/hospital/12octubre/ciudadanos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9</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https://www.comunidad.madrid/hospital/12octubre/profesionales</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https://www.comunidad.madrid/hospital/12octubre/comunicación</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https://www.comunidad.madrid/hospital/12octubre/nosotros</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Centros de especialidades</v>
      </c>
      <c r="C328" s="85" t="str" cm="1">
        <f t="array" ref="C328">IFERROR(INDEX('03.Muestra'!$F$8:$F$42,SMALL(IF("Página Web"='03.Muestra'!$D$8:$D$42,ROW('03.Muestra'!$F$8:$F$42)-MIN(ROW('03.Muestra'!$D$8:$D$42))+1,""),ROW()-322)),"")</f>
        <v>https://www.comunidad.madrid/hospital/12octubre/nosotros/centros-especialidades-perifericos</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Canal solidario</v>
      </c>
      <c r="C329" s="85" t="str" cm="1">
        <f t="array" ref="C329">IFERROR(INDEX('03.Muestra'!$F$8:$F$42,SMALL(IF("Página Web"='03.Muestra'!$D$8:$D$42,ROW('03.Muestra'!$F$8:$F$42)-MIN(ROW('03.Muestra'!$D$8:$D$42))+1,""),ROW()-322)),"")</f>
        <v>https://www.comunidad.madrid/hospital/12octubre/ciudadanos/canal-solidario</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Aniversario</v>
      </c>
      <c r="C330" s="85" t="str" cm="1">
        <f t="array" ref="C330">IFERROR(INDEX('03.Muestra'!$F$8:$F$42,SMALL(IF("Página Web"='03.Muestra'!$D$8:$D$42,ROW('03.Muestra'!$F$8:$F$42)-MIN(ROW('03.Muestra'!$D$8:$D$42))+1,""),ROW()-322)),"")</f>
        <v>https://www.comunidad.madrid/hospital/12octubre/50-aniversario</v>
      </c>
      <c r="D330" s="99" t="s">
        <v>104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Accesibilidad</v>
      </c>
      <c r="C331" s="85" t="str" cm="1">
        <f t="array" ref="C331">IFERROR(INDEX('03.Muestra'!$F$8:$F$42,SMALL(IF("Página Web"='03.Muestra'!$D$8:$D$42,ROW('03.Muestra'!$F$8:$F$42)-MIN(ROW('03.Muestra'!$D$8:$D$42))+1,""),ROW()-322)),"")</f>
        <v>https://www.comunidad.madrid/hospital/12octubre/declaracion-accesibilidad</v>
      </c>
      <c r="D331" s="99" t="s">
        <v>104</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ref="D332:D357" si="17">IF(AND(B332&lt;&gt;"",C332&lt;&gt;""),"N/T","")</f>
        <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https://www.comunidad.madrid/hospital/12octubre/</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https://www.comunidad.madrid/hospital/12octubre/ciudadanos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9</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https://www.comunidad.madrid/hospital/12octubre/profesionales</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Comunicación</v>
      </c>
      <c r="C364" s="85" t="str" cm="1">
        <f t="array" ref="C364">IFERROR(INDEX('03.Muestra'!$F$8:$F$42,SMALL(IF("Página Web"='03.Muestra'!$D$8:$D$42,ROW('03.Muestra'!$F$8:$F$42)-MIN(ROW('03.Muestra'!$D$8:$D$42))+1,""),ROW()-360)),"")</f>
        <v>https://www.comunidad.madrid/hospital/12octubre/comunicación</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https://www.comunidad.madrid/hospital/12octubre/nosotros</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Centros de especialidades</v>
      </c>
      <c r="C366" s="85" t="str" cm="1">
        <f t="array" ref="C366">IFERROR(INDEX('03.Muestra'!$F$8:$F$42,SMALL(IF("Página Web"='03.Muestra'!$D$8:$D$42,ROW('03.Muestra'!$F$8:$F$42)-MIN(ROW('03.Muestra'!$D$8:$D$42))+1,""),ROW()-360)),"")</f>
        <v>https://www.comunidad.madrid/hospital/12octubre/nosotros/centros-especialidades-perifericos</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Canal solidario</v>
      </c>
      <c r="C367" s="85" t="str" cm="1">
        <f t="array" ref="C367">IFERROR(INDEX('03.Muestra'!$F$8:$F$42,SMALL(IF("Página Web"='03.Muestra'!$D$8:$D$42,ROW('03.Muestra'!$F$8:$F$42)-MIN(ROW('03.Muestra'!$D$8:$D$42))+1,""),ROW()-360)),"")</f>
        <v>https://www.comunidad.madrid/hospital/12octubre/ciudadanos/canal-solidario</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Aniversario</v>
      </c>
      <c r="C368" s="85" t="str" cm="1">
        <f t="array" ref="C368">IFERROR(INDEX('03.Muestra'!$F$8:$F$42,SMALL(IF("Página Web"='03.Muestra'!$D$8:$D$42,ROW('03.Muestra'!$F$8:$F$42)-MIN(ROW('03.Muestra'!$D$8:$D$42))+1,""),ROW()-360)),"")</f>
        <v>https://www.comunidad.madrid/hospital/12octubre/50-aniversario</v>
      </c>
      <c r="D368" s="99" t="s">
        <v>104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Accesibilidad</v>
      </c>
      <c r="C369" s="85" t="str" cm="1">
        <f t="array" ref="C369">IFERROR(INDEX('03.Muestra'!$F$8:$F$42,SMALL(IF("Página Web"='03.Muestra'!$D$8:$D$42,ROW('03.Muestra'!$F$8:$F$42)-MIN(ROW('03.Muestra'!$D$8:$D$42))+1,""),ROW()-360)),"")</f>
        <v>https://www.comunidad.madrid/hospital/12octubre/declaracion-accesibilidad</v>
      </c>
      <c r="D369" s="99" t="s">
        <v>104</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IFERROR(INDEX('03.Muestra'!$B$8:$B$42,SMALL(IF("Página Web"='03.Muestra'!$D$8:$D$42,ROW('03.Muestra'!$B$8:$B$42)-MIN(ROW('03.Muestra'!$D$8:$D$42))+1,""),ROW()-360)),"")</f>
        <v/>
      </c>
      <c r="B370" s="85" t="str" cm="1">
        <f t="array" ref="B370">IFERROR(INDEX('03.Muestra'!$C$8:$C$42,SMALL(IF("Página Web"='03.Muestra'!$D$8:$D$42,ROW('03.Muestra'!$C$8:$C$42)-MIN(ROW('03.Muestra'!$D$8:$D$42))+1,""),ROW()-360)),"")</f>
        <v/>
      </c>
      <c r="C370" s="85" t="str" cm="1">
        <f t="array" ref="C370">IFERROR(INDEX('03.Muestra'!$F$8:$F$42,SMALL(IF("Página Web"='03.Muestra'!$D$8:$D$42,ROW('03.Muestra'!$F$8:$F$42)-MIN(ROW('03.Muestra'!$D$8:$D$42))+1,""),ROW()-360)),"")</f>
        <v/>
      </c>
      <c r="D370" s="99" t="str">
        <f t="shared" ref="D370:D395" si="19">IF(AND(B370&lt;&gt;"",C370&lt;&gt;""),"N/T","")</f>
        <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si="19"/>
        <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https://www.comunidad.madrid/hospital/12octubre/</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https://www.comunidad.madrid/hospital/12octubre/ciudadanos</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9</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https://www.comunidad.madrid/hospital/12octubre/profesionales</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Comunicación</v>
      </c>
      <c r="C402" s="85" t="str" cm="1">
        <f t="array" ref="C402">IFERROR(INDEX('03.Muestra'!$F$8:$F$42,SMALL(IF("Página Web"='03.Muestra'!$D$8:$D$42,ROW('03.Muestra'!$F$8:$F$42)-MIN(ROW('03.Muestra'!$D$8:$D$42))+1,""),ROW()-398)),"")</f>
        <v>https://www.comunidad.madrid/hospital/12octubre/comunicación</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https://www.comunidad.madrid/hospital/12octubre/nosotros</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Centros de especialidades</v>
      </c>
      <c r="C404" s="85" t="str" cm="1">
        <f t="array" ref="C404">IFERROR(INDEX('03.Muestra'!$F$8:$F$42,SMALL(IF("Página Web"='03.Muestra'!$D$8:$D$42,ROW('03.Muestra'!$F$8:$F$42)-MIN(ROW('03.Muestra'!$D$8:$D$42))+1,""),ROW()-398)),"")</f>
        <v>https://www.comunidad.madrid/hospital/12octubre/nosotros/centros-especialidades-perifericos</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Canal solidario</v>
      </c>
      <c r="C405" s="85" t="str" cm="1">
        <f t="array" ref="C405">IFERROR(INDEX('03.Muestra'!$F$8:$F$42,SMALL(IF("Página Web"='03.Muestra'!$D$8:$D$42,ROW('03.Muestra'!$F$8:$F$42)-MIN(ROW('03.Muestra'!$D$8:$D$42))+1,""),ROW()-398)),"")</f>
        <v>https://www.comunidad.madrid/hospital/12octubre/ciudadanos/canal-solidario</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Aniversario</v>
      </c>
      <c r="C406" s="85" t="str" cm="1">
        <f t="array" ref="C406">IFERROR(INDEX('03.Muestra'!$F$8:$F$42,SMALL(IF("Página Web"='03.Muestra'!$D$8:$D$42,ROW('03.Muestra'!$F$8:$F$42)-MIN(ROW('03.Muestra'!$D$8:$D$42))+1,""),ROW()-398)),"")</f>
        <v>https://www.comunidad.madrid/hospital/12octubre/50-aniversario</v>
      </c>
      <c r="D406" s="99" t="s">
        <v>104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Accesibilidad</v>
      </c>
      <c r="C407" s="85" t="str" cm="1">
        <f t="array" ref="C407">IFERROR(INDEX('03.Muestra'!$F$8:$F$42,SMALL(IF("Página Web"='03.Muestra'!$D$8:$D$42,ROW('03.Muestra'!$F$8:$F$42)-MIN(ROW('03.Muestra'!$D$8:$D$42))+1,""),ROW()-398)),"")</f>
        <v>https://www.comunidad.madrid/hospital/12octubre/declaracion-accesibilidad</v>
      </c>
      <c r="D407" s="99" t="s">
        <v>104</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IFERROR(INDEX('03.Muestra'!$B$8:$B$42,SMALL(IF("Página Web"='03.Muestra'!$D$8:$D$42,ROW('03.Muestra'!$B$8:$B$42)-MIN(ROW('03.Muestra'!$D$8:$D$42))+1,""),ROW()-398)),"")</f>
        <v/>
      </c>
      <c r="B408" s="85" t="str" cm="1">
        <f t="array" ref="B408">IFERROR(INDEX('03.Muestra'!$C$8:$C$42,SMALL(IF("Página Web"='03.Muestra'!$D$8:$D$42,ROW('03.Muestra'!$C$8:$C$42)-MIN(ROW('03.Muestra'!$D$8:$D$42))+1,""),ROW()-398)),"")</f>
        <v/>
      </c>
      <c r="C408" s="85" t="str" cm="1">
        <f t="array" ref="C408">IFERROR(INDEX('03.Muestra'!$F$8:$F$42,SMALL(IF("Página Web"='03.Muestra'!$D$8:$D$42,ROW('03.Muestra'!$F$8:$F$42)-MIN(ROW('03.Muestra'!$D$8:$D$42))+1,""),ROW()-398)),"")</f>
        <v/>
      </c>
      <c r="D408" s="99" t="str">
        <f t="shared" ref="D408:D433" si="21">IF(AND(B408&lt;&gt;"",C408&lt;&gt;""),"N/T","")</f>
        <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si="21"/>
        <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https://www.comunidad.madrid/hospital/12octubre/</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https://www.comunidad.madrid/hospital/12octubre/ciudadanos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9</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https://www.comunidad.madrid/hospital/12octubre/profesionales</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Comunicación</v>
      </c>
      <c r="C440" s="85" t="str" cm="1">
        <f t="array" ref="C440">IFERROR(INDEX('03.Muestra'!$F$8:$F$42,SMALL(IF("Página Web"='03.Muestra'!$D$8:$D$42,ROW('03.Muestra'!$F$8:$F$42)-MIN(ROW('03.Muestra'!$D$8:$D$42))+1,""),ROW()-436)),"")</f>
        <v>https://www.comunidad.madrid/hospital/12octubre/comunicación</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https://www.comunidad.madrid/hospital/12octubre/nosotros</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Centros de especialidades</v>
      </c>
      <c r="C442" s="85" t="str" cm="1">
        <f t="array" ref="C442">IFERROR(INDEX('03.Muestra'!$F$8:$F$42,SMALL(IF("Página Web"='03.Muestra'!$D$8:$D$42,ROW('03.Muestra'!$F$8:$F$42)-MIN(ROW('03.Muestra'!$D$8:$D$42))+1,""),ROW()-436)),"")</f>
        <v>https://www.comunidad.madrid/hospital/12octubre/nosotros/centros-especialidades-perifericos</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Canal solidario</v>
      </c>
      <c r="C443" s="85" t="str" cm="1">
        <f t="array" ref="C443">IFERROR(INDEX('03.Muestra'!$F$8:$F$42,SMALL(IF("Página Web"='03.Muestra'!$D$8:$D$42,ROW('03.Muestra'!$F$8:$F$42)-MIN(ROW('03.Muestra'!$D$8:$D$42))+1,""),ROW()-436)),"")</f>
        <v>https://www.comunidad.madrid/hospital/12octubre/ciudadanos/canal-solidario</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Aniversario</v>
      </c>
      <c r="C444" s="85" t="str" cm="1">
        <f t="array" ref="C444">IFERROR(INDEX('03.Muestra'!$F$8:$F$42,SMALL(IF("Página Web"='03.Muestra'!$D$8:$D$42,ROW('03.Muestra'!$F$8:$F$42)-MIN(ROW('03.Muestra'!$D$8:$D$42))+1,""),ROW()-436)),"")</f>
        <v>https://www.comunidad.madrid/hospital/12octubre/50-aniversario</v>
      </c>
      <c r="D444" s="99" t="s">
        <v>104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Accesibilidad</v>
      </c>
      <c r="C445" s="85" t="str" cm="1">
        <f t="array" ref="C445">IFERROR(INDEX('03.Muestra'!$F$8:$F$42,SMALL(IF("Página Web"='03.Muestra'!$D$8:$D$42,ROW('03.Muestra'!$F$8:$F$42)-MIN(ROW('03.Muestra'!$D$8:$D$42))+1,""),ROW()-436)),"")</f>
        <v>https://www.comunidad.madrid/hospital/12octubre/declaracion-accesibilidad</v>
      </c>
      <c r="D445" s="99" t="s">
        <v>104</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IFERROR(INDEX('03.Muestra'!$B$8:$B$42,SMALL(IF("Página Web"='03.Muestra'!$D$8:$D$42,ROW('03.Muestra'!$B$8:$B$42)-MIN(ROW('03.Muestra'!$D$8:$D$42))+1,""),ROW()-436)),"")</f>
        <v/>
      </c>
      <c r="B446" s="85" t="str" cm="1">
        <f t="array" ref="B446">IFERROR(INDEX('03.Muestra'!$C$8:$C$42,SMALL(IF("Página Web"='03.Muestra'!$D$8:$D$42,ROW('03.Muestra'!$C$8:$C$42)-MIN(ROW('03.Muestra'!$D$8:$D$42))+1,""),ROW()-436)),"")</f>
        <v/>
      </c>
      <c r="C446" s="85" t="str" cm="1">
        <f t="array" ref="C446">IFERROR(INDEX('03.Muestra'!$F$8:$F$42,SMALL(IF("Página Web"='03.Muestra'!$D$8:$D$42,ROW('03.Muestra'!$F$8:$F$42)-MIN(ROW('03.Muestra'!$D$8:$D$42))+1,""),ROW()-436)),"")</f>
        <v/>
      </c>
      <c r="D446" s="99" t="str">
        <f t="shared" ref="D446:D471" si="23">IF(AND(B446&lt;&gt;"",C446&lt;&gt;""),"N/T","")</f>
        <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si="23"/>
        <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https://www.comunidad.madrid/hospital/12octubre/</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https://www.comunidad.madrid/hospital/12octubre/ciudadanos</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9</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https://www.comunidad.madrid/hospital/12octubre/profesionales</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Comunicación</v>
      </c>
      <c r="C478" s="85" t="str" cm="1">
        <f t="array" ref="C478">IFERROR(INDEX('03.Muestra'!$F$8:$F$42,SMALL(IF("Página Web"='03.Muestra'!$D$8:$D$42,ROW('03.Muestra'!$F$8:$F$42)-MIN(ROW('03.Muestra'!$D$8:$D$42))+1,""),ROW()-474)),"")</f>
        <v>https://www.comunidad.madrid/hospital/12octubre/comunicación</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https://www.comunidad.madrid/hospital/12octubre/nosotros</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Centros de especialidades</v>
      </c>
      <c r="C480" s="85" t="str" cm="1">
        <f t="array" ref="C480">IFERROR(INDEX('03.Muestra'!$F$8:$F$42,SMALL(IF("Página Web"='03.Muestra'!$D$8:$D$42,ROW('03.Muestra'!$F$8:$F$42)-MIN(ROW('03.Muestra'!$D$8:$D$42))+1,""),ROW()-474)),"")</f>
        <v>https://www.comunidad.madrid/hospital/12octubre/nosotros/centros-especialidades-perifericos</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Canal solidario</v>
      </c>
      <c r="C481" s="85" t="str" cm="1">
        <f t="array" ref="C481">IFERROR(INDEX('03.Muestra'!$F$8:$F$42,SMALL(IF("Página Web"='03.Muestra'!$D$8:$D$42,ROW('03.Muestra'!$F$8:$F$42)-MIN(ROW('03.Muestra'!$D$8:$D$42))+1,""),ROW()-474)),"")</f>
        <v>https://www.comunidad.madrid/hospital/12octubre/ciudadanos/canal-solidario</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Aniversario</v>
      </c>
      <c r="C482" s="85" t="str" cm="1">
        <f t="array" ref="C482">IFERROR(INDEX('03.Muestra'!$F$8:$F$42,SMALL(IF("Página Web"='03.Muestra'!$D$8:$D$42,ROW('03.Muestra'!$F$8:$F$42)-MIN(ROW('03.Muestra'!$D$8:$D$42))+1,""),ROW()-474)),"")</f>
        <v>https://www.comunidad.madrid/hospital/12octubre/50-aniversario</v>
      </c>
      <c r="D482" s="99" t="s">
        <v>104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Accesibilidad</v>
      </c>
      <c r="C483" s="85" t="str" cm="1">
        <f t="array" ref="C483">IFERROR(INDEX('03.Muestra'!$F$8:$F$42,SMALL(IF("Página Web"='03.Muestra'!$D$8:$D$42,ROW('03.Muestra'!$F$8:$F$42)-MIN(ROW('03.Muestra'!$D$8:$D$42))+1,""),ROW()-474)),"")</f>
        <v>https://www.comunidad.madrid/hospital/12octubre/declaracion-accesibilidad</v>
      </c>
      <c r="D483" s="99" t="s">
        <v>104</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IFERROR(INDEX('03.Muestra'!$B$8:$B$42,SMALL(IF("Página Web"='03.Muestra'!$D$8:$D$42,ROW('03.Muestra'!$B$8:$B$42)-MIN(ROW('03.Muestra'!$D$8:$D$42))+1,""),ROW()-474)),"")</f>
        <v/>
      </c>
      <c r="B484" s="85" t="str" cm="1">
        <f t="array" ref="B484">IFERROR(INDEX('03.Muestra'!$C$8:$C$42,SMALL(IF("Página Web"='03.Muestra'!$D$8:$D$42,ROW('03.Muestra'!$C$8:$C$42)-MIN(ROW('03.Muestra'!$D$8:$D$42))+1,""),ROW()-474)),"")</f>
        <v/>
      </c>
      <c r="C484" s="85" t="str" cm="1">
        <f t="array" ref="C484">IFERROR(INDEX('03.Muestra'!$F$8:$F$42,SMALL(IF("Página Web"='03.Muestra'!$D$8:$D$42,ROW('03.Muestra'!$F$8:$F$42)-MIN(ROW('03.Muestra'!$D$8:$D$42))+1,""),ROW()-474)),"")</f>
        <v/>
      </c>
      <c r="D484" s="99" t="str">
        <f t="shared" ref="D484:D509" si="25">IF(AND(B484&lt;&gt;"",C484&lt;&gt;""),"N/T","")</f>
        <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si="25"/>
        <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https://www.comunidad.madrid/hospital/12octubre/</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https://www.comunidad.madrid/hospital/12octubre/ciudadanos</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9</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https://www.comunidad.madrid/hospital/12octubre/profesionales</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Comunicación</v>
      </c>
      <c r="C516" s="85" t="str" cm="1">
        <f t="array" ref="C516">IFERROR(INDEX('03.Muestra'!$F$8:$F$42,SMALL(IF("Página Web"='03.Muestra'!$D$8:$D$42,ROW('03.Muestra'!$F$8:$F$42)-MIN(ROW('03.Muestra'!$D$8:$D$42))+1,""),ROW()-512)),"")</f>
        <v>https://www.comunidad.madrid/hospital/12octubre/comunicación</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https://www.comunidad.madrid/hospital/12octubre/nosotros</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Centros de especialidades</v>
      </c>
      <c r="C518" s="85" t="str" cm="1">
        <f t="array" ref="C518">IFERROR(INDEX('03.Muestra'!$F$8:$F$42,SMALL(IF("Página Web"='03.Muestra'!$D$8:$D$42,ROW('03.Muestra'!$F$8:$F$42)-MIN(ROW('03.Muestra'!$D$8:$D$42))+1,""),ROW()-512)),"")</f>
        <v>https://www.comunidad.madrid/hospital/12octubre/nosotros/centros-especialidades-perifericos</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Canal solidario</v>
      </c>
      <c r="C519" s="85" t="str" cm="1">
        <f t="array" ref="C519">IFERROR(INDEX('03.Muestra'!$F$8:$F$42,SMALL(IF("Página Web"='03.Muestra'!$D$8:$D$42,ROW('03.Muestra'!$F$8:$F$42)-MIN(ROW('03.Muestra'!$D$8:$D$42))+1,""),ROW()-512)),"")</f>
        <v>https://www.comunidad.madrid/hospital/12octubre/ciudadanos/canal-solidario</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Aniversario</v>
      </c>
      <c r="C520" s="85" t="str" cm="1">
        <f t="array" ref="C520">IFERROR(INDEX('03.Muestra'!$F$8:$F$42,SMALL(IF("Página Web"='03.Muestra'!$D$8:$D$42,ROW('03.Muestra'!$F$8:$F$42)-MIN(ROW('03.Muestra'!$D$8:$D$42))+1,""),ROW()-512)),"")</f>
        <v>https://www.comunidad.madrid/hospital/12octubre/50-aniversario</v>
      </c>
      <c r="D520" s="99" t="s">
        <v>104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Accesibilidad</v>
      </c>
      <c r="C521" s="85" t="str" cm="1">
        <f t="array" ref="C521">IFERROR(INDEX('03.Muestra'!$F$8:$F$42,SMALL(IF("Página Web"='03.Muestra'!$D$8:$D$42,ROW('03.Muestra'!$F$8:$F$42)-MIN(ROW('03.Muestra'!$D$8:$D$42))+1,""),ROW()-512)),"")</f>
        <v>https://www.comunidad.madrid/hospital/12octubre/declaracion-accesibilidad</v>
      </c>
      <c r="D521" s="99" t="s">
        <v>104</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IFERROR(INDEX('03.Muestra'!$B$8:$B$42,SMALL(IF("Página Web"='03.Muestra'!$D$8:$D$42,ROW('03.Muestra'!$B$8:$B$42)-MIN(ROW('03.Muestra'!$D$8:$D$42))+1,""),ROW()-512)),"")</f>
        <v/>
      </c>
      <c r="B522" s="85" t="str" cm="1">
        <f t="array" ref="B522">IFERROR(INDEX('03.Muestra'!$C$8:$C$42,SMALL(IF("Página Web"='03.Muestra'!$D$8:$D$42,ROW('03.Muestra'!$C$8:$C$42)-MIN(ROW('03.Muestra'!$D$8:$D$42))+1,""),ROW()-512)),"")</f>
        <v/>
      </c>
      <c r="C522" s="85" t="str" cm="1">
        <f t="array" ref="C522">IFERROR(INDEX('03.Muestra'!$F$8:$F$42,SMALL(IF("Página Web"='03.Muestra'!$D$8:$D$42,ROW('03.Muestra'!$F$8:$F$42)-MIN(ROW('03.Muestra'!$D$8:$D$42))+1,""),ROW()-512)),"")</f>
        <v/>
      </c>
      <c r="D522" s="99" t="str">
        <f t="shared" ref="D522:D547" si="27">IF(AND(B522&lt;&gt;"",C522&lt;&gt;""),"N/T","")</f>
        <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si="27"/>
        <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https://www.comunidad.madrid/hospital/12octubre/</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https://www.comunidad.madrid/hospital/12octubre/ciudadanos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9</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https://www.comunidad.madrid/hospital/12octubre/profesionales</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Comunicación</v>
      </c>
      <c r="C554" s="85" t="str" cm="1">
        <f t="array" ref="C554">IFERROR(INDEX('03.Muestra'!$F$8:$F$42,SMALL(IF("Página Web"='03.Muestra'!$D$8:$D$42,ROW('03.Muestra'!$F$8:$F$42)-MIN(ROW('03.Muestra'!$D$8:$D$42))+1,""),ROW()-550)),"")</f>
        <v>https://www.comunidad.madrid/hospital/12octubre/comunicación</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https://www.comunidad.madrid/hospital/12octubre/nosotros</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Centros de especialidades</v>
      </c>
      <c r="C556" s="85" t="str" cm="1">
        <f t="array" ref="C556">IFERROR(INDEX('03.Muestra'!$F$8:$F$42,SMALL(IF("Página Web"='03.Muestra'!$D$8:$D$42,ROW('03.Muestra'!$F$8:$F$42)-MIN(ROW('03.Muestra'!$D$8:$D$42))+1,""),ROW()-550)),"")</f>
        <v>https://www.comunidad.madrid/hospital/12octubre/nosotros/centros-especialidades-perifericos</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Canal solidario</v>
      </c>
      <c r="C557" s="85" t="str" cm="1">
        <f t="array" ref="C557">IFERROR(INDEX('03.Muestra'!$F$8:$F$42,SMALL(IF("Página Web"='03.Muestra'!$D$8:$D$42,ROW('03.Muestra'!$F$8:$F$42)-MIN(ROW('03.Muestra'!$D$8:$D$42))+1,""),ROW()-550)),"")</f>
        <v>https://www.comunidad.madrid/hospital/12octubre/ciudadanos/canal-solidario</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Aniversario</v>
      </c>
      <c r="C558" s="85" t="str" cm="1">
        <f t="array" ref="C558">IFERROR(INDEX('03.Muestra'!$F$8:$F$42,SMALL(IF("Página Web"='03.Muestra'!$D$8:$D$42,ROW('03.Muestra'!$F$8:$F$42)-MIN(ROW('03.Muestra'!$D$8:$D$42))+1,""),ROW()-550)),"")</f>
        <v>https://www.comunidad.madrid/hospital/12octubre/50-aniversario</v>
      </c>
      <c r="D558" s="99" t="s">
        <v>104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Accesibilidad</v>
      </c>
      <c r="C559" s="85" t="str" cm="1">
        <f t="array" ref="C559">IFERROR(INDEX('03.Muestra'!$F$8:$F$42,SMALL(IF("Página Web"='03.Muestra'!$D$8:$D$42,ROW('03.Muestra'!$F$8:$F$42)-MIN(ROW('03.Muestra'!$D$8:$D$42))+1,""),ROW()-550)),"")</f>
        <v>https://www.comunidad.madrid/hospital/12octubre/declaracion-accesibilidad</v>
      </c>
      <c r="D559" s="99" t="s">
        <v>104</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IFERROR(INDEX('03.Muestra'!$B$8:$B$42,SMALL(IF("Página Web"='03.Muestra'!$D$8:$D$42,ROW('03.Muestra'!$B$8:$B$42)-MIN(ROW('03.Muestra'!$D$8:$D$42))+1,""),ROW()-550)),"")</f>
        <v/>
      </c>
      <c r="B560" s="85" t="str" cm="1">
        <f t="array" ref="B560">IFERROR(INDEX('03.Muestra'!$C$8:$C$42,SMALL(IF("Página Web"='03.Muestra'!$D$8:$D$42,ROW('03.Muestra'!$C$8:$C$42)-MIN(ROW('03.Muestra'!$D$8:$D$42))+1,""),ROW()-550)),"")</f>
        <v/>
      </c>
      <c r="C560" s="85" t="str" cm="1">
        <f t="array" ref="C560">IFERROR(INDEX('03.Muestra'!$F$8:$F$42,SMALL(IF("Página Web"='03.Muestra'!$D$8:$D$42,ROW('03.Muestra'!$F$8:$F$42)-MIN(ROW('03.Muestra'!$D$8:$D$42))+1,""),ROW()-550)),"")</f>
        <v/>
      </c>
      <c r="D560" s="99" t="str">
        <f t="shared" ref="D560:D585" si="29">IF(AND(B560&lt;&gt;"",C560&lt;&gt;""),"N/T","")</f>
        <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si="29"/>
        <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https://www.comunidad.madrid/hospital/12octubre/</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https://www.comunidad.madrid/hospital/12octubre/ciudadanos</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8</v>
      </c>
      <c r="I590" s="91">
        <f ca="1">COUNTIF($D589:INDIRECT("$D" &amp;  SUM(ROW()-1,'03.Muestra'!$D$45)-1),I589)</f>
        <v>1</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https://www.comunidad.madrid/hospital/12octubre/profesionales</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Comunicación</v>
      </c>
      <c r="C592" s="85" t="str" cm="1">
        <f t="array" ref="C592">IFERROR(INDEX('03.Muestra'!$F$8:$F$42,SMALL(IF("Página Web"='03.Muestra'!$D$8:$D$42,ROW('03.Muestra'!$F$8:$F$42)-MIN(ROW('03.Muestra'!$D$8:$D$42))+1,""),ROW()-588)),"")</f>
        <v>https://www.comunidad.madrid/hospital/12octubre/comunicación</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https://www.comunidad.madrid/hospital/12octubre/nosotros</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Centros de especialidades</v>
      </c>
      <c r="C594" s="85" t="str" cm="1">
        <f t="array" ref="C594">IFERROR(INDEX('03.Muestra'!$F$8:$F$42,SMALL(IF("Página Web"='03.Muestra'!$D$8:$D$42,ROW('03.Muestra'!$F$8:$F$42)-MIN(ROW('03.Muestra'!$D$8:$D$42))+1,""),ROW()-588)),"")</f>
        <v>https://www.comunidad.madrid/hospital/12octubre/nosotros/centros-especialidades-perifericos</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Canal solidario</v>
      </c>
      <c r="C595" s="85" t="str" cm="1">
        <f t="array" ref="C595">IFERROR(INDEX('03.Muestra'!$F$8:$F$42,SMALL(IF("Página Web"='03.Muestra'!$D$8:$D$42,ROW('03.Muestra'!$F$8:$F$42)-MIN(ROW('03.Muestra'!$D$8:$D$42))+1,""),ROW()-588)),"")</f>
        <v>https://www.comunidad.madrid/hospital/12octubre/ciudadanos/canal-solidario</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Aniversario</v>
      </c>
      <c r="C596" s="85" t="str" cm="1">
        <f t="array" ref="C596">IFERROR(INDEX('03.Muestra'!$F$8:$F$42,SMALL(IF("Página Web"='03.Muestra'!$D$8:$D$42,ROW('03.Muestra'!$F$8:$F$42)-MIN(ROW('03.Muestra'!$D$8:$D$42))+1,""),ROW()-588)),"")</f>
        <v>https://www.comunidad.madrid/hospital/12octubre/50-aniversario</v>
      </c>
      <c r="D596" s="99" t="s">
        <v>104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Accesibilidad</v>
      </c>
      <c r="C597" s="85" t="str" cm="1">
        <f t="array" ref="C597">IFERROR(INDEX('03.Muestra'!$F$8:$F$42,SMALL(IF("Página Web"='03.Muestra'!$D$8:$D$42,ROW('03.Muestra'!$F$8:$F$42)-MIN(ROW('03.Muestra'!$D$8:$D$42))+1,""),ROW()-588)),"")</f>
        <v>https://www.comunidad.madrid/hospital/12octubre/declaracion-accesibilidad</v>
      </c>
      <c r="D597" s="99" t="s">
        <v>94</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IFERROR(INDEX('03.Muestra'!$B$8:$B$42,SMALL(IF("Página Web"='03.Muestra'!$D$8:$D$42,ROW('03.Muestra'!$B$8:$B$42)-MIN(ROW('03.Muestra'!$D$8:$D$42))+1,""),ROW()-588)),"")</f>
        <v/>
      </c>
      <c r="B598" s="85" t="str" cm="1">
        <f t="array" ref="B598">IFERROR(INDEX('03.Muestra'!$C$8:$C$42,SMALL(IF("Página Web"='03.Muestra'!$D$8:$D$42,ROW('03.Muestra'!$C$8:$C$42)-MIN(ROW('03.Muestra'!$D$8:$D$42))+1,""),ROW()-588)),"")</f>
        <v/>
      </c>
      <c r="C598" s="85" t="str" cm="1">
        <f t="array" ref="C598">IFERROR(INDEX('03.Muestra'!$F$8:$F$42,SMALL(IF("Página Web"='03.Muestra'!$D$8:$D$42,ROW('03.Muestra'!$F$8:$F$42)-MIN(ROW('03.Muestra'!$D$8:$D$42))+1,""),ROW()-588)),"")</f>
        <v/>
      </c>
      <c r="D598" s="99" t="str">
        <f t="shared" ref="D598:D623" si="31">IF(AND(B598&lt;&gt;"",C598&lt;&gt;""),"N/T","")</f>
        <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si="31"/>
        <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https://www.comunidad.madrid/hospital/12octubre/</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https://www.comunidad.madrid/hospital/12octubre/ciudadanos</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9</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https://www.comunidad.madrid/hospital/12octubre/profesionales</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Comunicación</v>
      </c>
      <c r="C630" s="85" t="str" cm="1">
        <f t="array" ref="C630">IFERROR(INDEX('03.Muestra'!$F$8:$F$42,SMALL(IF("Página Web"='03.Muestra'!$D$8:$D$42,ROW('03.Muestra'!$F$8:$F$42)-MIN(ROW('03.Muestra'!$D$8:$D$42))+1,""),ROW()-626)),"")</f>
        <v>https://www.comunidad.madrid/hospital/12octubre/comunicación</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https://www.comunidad.madrid/hospital/12octubre/nosotros</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Centros de especialidades</v>
      </c>
      <c r="C632" s="85" t="str" cm="1">
        <f t="array" ref="C632">IFERROR(INDEX('03.Muestra'!$F$8:$F$42,SMALL(IF("Página Web"='03.Muestra'!$D$8:$D$42,ROW('03.Muestra'!$F$8:$F$42)-MIN(ROW('03.Muestra'!$D$8:$D$42))+1,""),ROW()-626)),"")</f>
        <v>https://www.comunidad.madrid/hospital/12octubre/nosotros/centros-especialidades-perifericos</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Canal solidario</v>
      </c>
      <c r="C633" s="85" t="str" cm="1">
        <f t="array" ref="C633">IFERROR(INDEX('03.Muestra'!$F$8:$F$42,SMALL(IF("Página Web"='03.Muestra'!$D$8:$D$42,ROW('03.Muestra'!$F$8:$F$42)-MIN(ROW('03.Muestra'!$D$8:$D$42))+1,""),ROW()-626)),"")</f>
        <v>https://www.comunidad.madrid/hospital/12octubre/ciudadanos/canal-solidario</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Aniversario</v>
      </c>
      <c r="C634" s="85" t="str" cm="1">
        <f t="array" ref="C634">IFERROR(INDEX('03.Muestra'!$F$8:$F$42,SMALL(IF("Página Web"='03.Muestra'!$D$8:$D$42,ROW('03.Muestra'!$F$8:$F$42)-MIN(ROW('03.Muestra'!$D$8:$D$42))+1,""),ROW()-626)),"")</f>
        <v>https://www.comunidad.madrid/hospital/12octubre/50-aniversario</v>
      </c>
      <c r="D634" s="99" t="s">
        <v>104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Accesibilidad</v>
      </c>
      <c r="C635" s="85" t="str" cm="1">
        <f t="array" ref="C635">IFERROR(INDEX('03.Muestra'!$F$8:$F$42,SMALL(IF("Página Web"='03.Muestra'!$D$8:$D$42,ROW('03.Muestra'!$F$8:$F$42)-MIN(ROW('03.Muestra'!$D$8:$D$42))+1,""),ROW()-626)),"")</f>
        <v>https://www.comunidad.madrid/hospital/12octubre/declaracion-accesibilidad</v>
      </c>
      <c r="D635" s="99" t="s">
        <v>104</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t="str" cm="1">
        <f t="array" ref="A636">IFERROR(INDEX('03.Muestra'!$B$8:$B$42,SMALL(IF("Página Web"='03.Muestra'!$D$8:$D$42,ROW('03.Muestra'!$B$8:$B$42)-MIN(ROW('03.Muestra'!$D$8:$D$42))+1,""),ROW()-626)),"")</f>
        <v/>
      </c>
      <c r="B636" s="85" t="str" cm="1">
        <f t="array" ref="B636">IFERROR(INDEX('03.Muestra'!$C$8:$C$42,SMALL(IF("Página Web"='03.Muestra'!$D$8:$D$42,ROW('03.Muestra'!$C$8:$C$42)-MIN(ROW('03.Muestra'!$D$8:$D$42))+1,""),ROW()-626)),"")</f>
        <v/>
      </c>
      <c r="C636" s="85" t="str" cm="1">
        <f t="array" ref="C636">IFERROR(INDEX('03.Muestra'!$F$8:$F$42,SMALL(IF("Página Web"='03.Muestra'!$D$8:$D$42,ROW('03.Muestra'!$F$8:$F$42)-MIN(ROW('03.Muestra'!$D$8:$D$42))+1,""),ROW()-626)),"")</f>
        <v/>
      </c>
      <c r="D636" s="99" t="str">
        <f t="shared" ref="D636:D661" si="33">IF(AND(B636&lt;&gt;"",C636&lt;&gt;""),"N/T","")</f>
        <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si="33"/>
        <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https://www.comunidad.madrid/hospital/12octubre/</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https://www.comunidad.madrid/hospital/12octubre/ciudadanos</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9</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https://www.comunidad.madrid/hospital/12octubre/profesionales</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Comunicación</v>
      </c>
      <c r="C668" s="85" t="str" cm="1">
        <f t="array" ref="C668">IFERROR(INDEX('03.Muestra'!$F$8:$F$42,SMALL(IF("Página Web"='03.Muestra'!$D$8:$D$42,ROW('03.Muestra'!$F$8:$F$42)-MIN(ROW('03.Muestra'!$D$8:$D$42))+1,""),ROW()-664)),"")</f>
        <v>https://www.comunidad.madrid/hospital/12octubre/comunicación</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https://www.comunidad.madrid/hospital/12octubre/nosotros</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Centros de especialidades</v>
      </c>
      <c r="C670" s="85" t="str" cm="1">
        <f t="array" ref="C670">IFERROR(INDEX('03.Muestra'!$F$8:$F$42,SMALL(IF("Página Web"='03.Muestra'!$D$8:$D$42,ROW('03.Muestra'!$F$8:$F$42)-MIN(ROW('03.Muestra'!$D$8:$D$42))+1,""),ROW()-664)),"")</f>
        <v>https://www.comunidad.madrid/hospital/12octubre/nosotros/centros-especialidades-perifericos</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Canal solidario</v>
      </c>
      <c r="C671" s="85" t="str" cm="1">
        <f t="array" ref="C671">IFERROR(INDEX('03.Muestra'!$F$8:$F$42,SMALL(IF("Página Web"='03.Muestra'!$D$8:$D$42,ROW('03.Muestra'!$F$8:$F$42)-MIN(ROW('03.Muestra'!$D$8:$D$42))+1,""),ROW()-664)),"")</f>
        <v>https://www.comunidad.madrid/hospital/12octubre/ciudadanos/canal-solidario</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Aniversario</v>
      </c>
      <c r="C672" s="85" t="str" cm="1">
        <f t="array" ref="C672">IFERROR(INDEX('03.Muestra'!$F$8:$F$42,SMALL(IF("Página Web"='03.Muestra'!$D$8:$D$42,ROW('03.Muestra'!$F$8:$F$42)-MIN(ROW('03.Muestra'!$D$8:$D$42))+1,""),ROW()-664)),"")</f>
        <v>https://www.comunidad.madrid/hospital/12octubre/50-aniversario</v>
      </c>
      <c r="D672" s="99" t="s">
        <v>104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Accesibilidad</v>
      </c>
      <c r="C673" s="85" t="str" cm="1">
        <f t="array" ref="C673">IFERROR(INDEX('03.Muestra'!$F$8:$F$42,SMALL(IF("Página Web"='03.Muestra'!$D$8:$D$42,ROW('03.Muestra'!$F$8:$F$42)-MIN(ROW('03.Muestra'!$D$8:$D$42))+1,""),ROW()-664)),"")</f>
        <v>https://www.comunidad.madrid/hospital/12octubre/declaracion-accesibilidad</v>
      </c>
      <c r="D673" s="99" t="s">
        <v>104</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t="str" cm="1">
        <f t="array" ref="A674">IFERROR(INDEX('03.Muestra'!$B$8:$B$42,SMALL(IF("Página Web"='03.Muestra'!$D$8:$D$42,ROW('03.Muestra'!$B$8:$B$42)-MIN(ROW('03.Muestra'!$D$8:$D$42))+1,""),ROW()-664)),"")</f>
        <v/>
      </c>
      <c r="B674" s="85" t="str" cm="1">
        <f t="array" ref="B674">IFERROR(INDEX('03.Muestra'!$C$8:$C$42,SMALL(IF("Página Web"='03.Muestra'!$D$8:$D$42,ROW('03.Muestra'!$C$8:$C$42)-MIN(ROW('03.Muestra'!$D$8:$D$42))+1,""),ROW()-664)),"")</f>
        <v/>
      </c>
      <c r="C674" s="85" t="str" cm="1">
        <f t="array" ref="C674">IFERROR(INDEX('03.Muestra'!$F$8:$F$42,SMALL(IF("Página Web"='03.Muestra'!$D$8:$D$42,ROW('03.Muestra'!$F$8:$F$42)-MIN(ROW('03.Muestra'!$D$8:$D$42))+1,""),ROW()-664)),"")</f>
        <v/>
      </c>
      <c r="D674" s="99" t="str">
        <f t="shared" ref="D674:D699" si="35">IF(AND(B674&lt;&gt;"",C674&lt;&gt;""),"N/T","")</f>
        <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si="35"/>
        <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https://www.comunidad.madrid/hospital/12octubre/</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https://www.comunidad.madrid/hospital/12octubre/ciudadanos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9</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https://www.comunidad.madrid/hospital/12octubre/profesionales</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Comunicación</v>
      </c>
      <c r="C706" s="85" t="str" cm="1">
        <f t="array" ref="C706">IFERROR(INDEX('03.Muestra'!$F$8:$F$42,SMALL(IF("Página Web"='03.Muestra'!$D$8:$D$42,ROW('03.Muestra'!$F$8:$F$42)-MIN(ROW('03.Muestra'!$D$8:$D$42))+1,""),ROW()-702)),"")</f>
        <v>https://www.comunidad.madrid/hospital/12octubre/comunicación</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https://www.comunidad.madrid/hospital/12octubre/nosotros</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Centros de especialidades</v>
      </c>
      <c r="C708" s="85" t="str" cm="1">
        <f t="array" ref="C708">IFERROR(INDEX('03.Muestra'!$F$8:$F$42,SMALL(IF("Página Web"='03.Muestra'!$D$8:$D$42,ROW('03.Muestra'!$F$8:$F$42)-MIN(ROW('03.Muestra'!$D$8:$D$42))+1,""),ROW()-702)),"")</f>
        <v>https://www.comunidad.madrid/hospital/12octubre/nosotros/centros-especialidades-perifericos</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Canal solidario</v>
      </c>
      <c r="C709" s="85" t="str" cm="1">
        <f t="array" ref="C709">IFERROR(INDEX('03.Muestra'!$F$8:$F$42,SMALL(IF("Página Web"='03.Muestra'!$D$8:$D$42,ROW('03.Muestra'!$F$8:$F$42)-MIN(ROW('03.Muestra'!$D$8:$D$42))+1,""),ROW()-702)),"")</f>
        <v>https://www.comunidad.madrid/hospital/12octubre/ciudadanos/canal-solidario</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Aniversario</v>
      </c>
      <c r="C710" s="85" t="str" cm="1">
        <f t="array" ref="C710">IFERROR(INDEX('03.Muestra'!$F$8:$F$42,SMALL(IF("Página Web"='03.Muestra'!$D$8:$D$42,ROW('03.Muestra'!$F$8:$F$42)-MIN(ROW('03.Muestra'!$D$8:$D$42))+1,""),ROW()-702)),"")</f>
        <v>https://www.comunidad.madrid/hospital/12octubre/50-aniversario</v>
      </c>
      <c r="D710" s="99" t="s">
        <v>104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Accesibilidad</v>
      </c>
      <c r="C711" s="85" t="str" cm="1">
        <f t="array" ref="C711">IFERROR(INDEX('03.Muestra'!$F$8:$F$42,SMALL(IF("Página Web"='03.Muestra'!$D$8:$D$42,ROW('03.Muestra'!$F$8:$F$42)-MIN(ROW('03.Muestra'!$D$8:$D$42))+1,""),ROW()-702)),"")</f>
        <v>https://www.comunidad.madrid/hospital/12octubre/declaracion-accesibilidad</v>
      </c>
      <c r="D711" s="99" t="s">
        <v>104</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t="str" cm="1">
        <f t="array" ref="A712">IFERROR(INDEX('03.Muestra'!$B$8:$B$42,SMALL(IF("Página Web"='03.Muestra'!$D$8:$D$42,ROW('03.Muestra'!$B$8:$B$42)-MIN(ROW('03.Muestra'!$D$8:$D$42))+1,""),ROW()-702)),"")</f>
        <v/>
      </c>
      <c r="B712" s="85" t="str" cm="1">
        <f t="array" ref="B712">IFERROR(INDEX('03.Muestra'!$C$8:$C$42,SMALL(IF("Página Web"='03.Muestra'!$D$8:$D$42,ROW('03.Muestra'!$C$8:$C$42)-MIN(ROW('03.Muestra'!$D$8:$D$42))+1,""),ROW()-702)),"")</f>
        <v/>
      </c>
      <c r="C712" s="85" t="str" cm="1">
        <f t="array" ref="C712">IFERROR(INDEX('03.Muestra'!$F$8:$F$42,SMALL(IF("Página Web"='03.Muestra'!$D$8:$D$42,ROW('03.Muestra'!$F$8:$F$42)-MIN(ROW('03.Muestra'!$D$8:$D$42))+1,""),ROW()-702)),"")</f>
        <v/>
      </c>
      <c r="D712" s="99" t="str">
        <f t="shared" ref="D712:D737" si="37">IF(AND(B712&lt;&gt;"",C712&lt;&gt;""),"N/T","")</f>
        <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si="37"/>
        <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E57:E92 E437:E471 E475:E509 E551:E585 E589:E623 E19:E53">
    <cfRule type="cellIs" dxfId="1167" priority="350" stopIfTrue="1" operator="equal">
      <formula>"ERR"</formula>
    </cfRule>
  </conditionalFormatting>
  <conditionalFormatting sqref="D19:D53 D57:D92 D437:D471 D475:D509 D551:D585 D589:D623 F19:J19 F57:J57 F437:J437 F475:J475 F551:J551 F589:J589 F95:J95 F133:J133 F171:J171 F209:J209 F247:J247 F285:J285 F323:J323 F361:J361 F399:J399 F513:J513 F627:J627 F665:J665 F703:J703">
    <cfRule type="expression" dxfId="1166" priority="344" stopIfTrue="1">
      <formula>ISBLANK(D19)</formula>
    </cfRule>
    <cfRule type="cellIs" dxfId="1165" priority="345" stopIfTrue="1" operator="equal">
      <formula>"Pasa"</formula>
    </cfRule>
    <cfRule type="cellIs" dxfId="1164" priority="346" stopIfTrue="1" operator="equal">
      <formula>"Falla"</formula>
    </cfRule>
    <cfRule type="cellIs" dxfId="1163" priority="347" stopIfTrue="1" operator="equal">
      <formula>"N/A"</formula>
    </cfRule>
    <cfRule type="cellIs" dxfId="1162" priority="348" stopIfTrue="1" operator="equal">
      <formula>"N/T"</formula>
    </cfRule>
    <cfRule type="cellIs" dxfId="1161" priority="349" stopIfTrue="1" operator="equal">
      <formula>"N/D"</formula>
    </cfRule>
  </conditionalFormatting>
  <conditionalFormatting sqref="D1:D8 D739:D1048576 D10:D93 D435:D510 D549:D624">
    <cfRule type="cellIs" dxfId="1160" priority="229" stopIfTrue="1" operator="equal">
      <formula>"-"</formula>
    </cfRule>
  </conditionalFormatting>
  <conditionalFormatting sqref="E95:E130">
    <cfRule type="cellIs" dxfId="1159" priority="228" stopIfTrue="1" operator="equal">
      <formula>"ERR"</formula>
    </cfRule>
  </conditionalFormatting>
  <conditionalFormatting sqref="D95:D130">
    <cfRule type="expression" dxfId="1158" priority="222" stopIfTrue="1">
      <formula>ISBLANK(D95)</formula>
    </cfRule>
    <cfRule type="cellIs" dxfId="1157" priority="223" stopIfTrue="1" operator="equal">
      <formula>"Pasa"</formula>
    </cfRule>
    <cfRule type="cellIs" dxfId="1156" priority="224" stopIfTrue="1" operator="equal">
      <formula>"Falla"</formula>
    </cfRule>
    <cfRule type="cellIs" dxfId="1155" priority="225" stopIfTrue="1" operator="equal">
      <formula>"N/A"</formula>
    </cfRule>
    <cfRule type="cellIs" dxfId="1154" priority="226" stopIfTrue="1" operator="equal">
      <formula>"N/T"</formula>
    </cfRule>
    <cfRule type="cellIs" dxfId="1153" priority="227" stopIfTrue="1" operator="equal">
      <formula>"N/D"</formula>
    </cfRule>
  </conditionalFormatting>
  <conditionalFormatting sqref="D94:D131">
    <cfRule type="cellIs" dxfId="1152" priority="215" stopIfTrue="1" operator="equal">
      <formula>"-"</formula>
    </cfRule>
  </conditionalFormatting>
  <conditionalFormatting sqref="E133:E168">
    <cfRule type="cellIs" dxfId="1151" priority="214" stopIfTrue="1" operator="equal">
      <formula>"ERR"</formula>
    </cfRule>
  </conditionalFormatting>
  <conditionalFormatting sqref="D133:D168">
    <cfRule type="expression" dxfId="1150" priority="208" stopIfTrue="1">
      <formula>ISBLANK(D133)</formula>
    </cfRule>
    <cfRule type="cellIs" dxfId="1149" priority="209" stopIfTrue="1" operator="equal">
      <formula>"Pasa"</formula>
    </cfRule>
    <cfRule type="cellIs" dxfId="1148" priority="210" stopIfTrue="1" operator="equal">
      <formula>"Falla"</formula>
    </cfRule>
    <cfRule type="cellIs" dxfId="1147" priority="211" stopIfTrue="1" operator="equal">
      <formula>"N/A"</formula>
    </cfRule>
    <cfRule type="cellIs" dxfId="1146" priority="212" stopIfTrue="1" operator="equal">
      <formula>"N/T"</formula>
    </cfRule>
    <cfRule type="cellIs" dxfId="1145" priority="213" stopIfTrue="1" operator="equal">
      <formula>"N/D"</formula>
    </cfRule>
  </conditionalFormatting>
  <conditionalFormatting sqref="D132:D169">
    <cfRule type="cellIs" dxfId="1144" priority="201" stopIfTrue="1" operator="equal">
      <formula>"-"</formula>
    </cfRule>
  </conditionalFormatting>
  <conditionalFormatting sqref="E171:E205">
    <cfRule type="cellIs" dxfId="1143" priority="200" stopIfTrue="1" operator="equal">
      <formula>"ERR"</formula>
    </cfRule>
  </conditionalFormatting>
  <conditionalFormatting sqref="D171:D205">
    <cfRule type="expression" dxfId="1142" priority="194" stopIfTrue="1">
      <formula>ISBLANK(D171)</formula>
    </cfRule>
    <cfRule type="cellIs" dxfId="1141" priority="195" stopIfTrue="1" operator="equal">
      <formula>"Pasa"</formula>
    </cfRule>
    <cfRule type="cellIs" dxfId="1140" priority="196" stopIfTrue="1" operator="equal">
      <formula>"Falla"</formula>
    </cfRule>
    <cfRule type="cellIs" dxfId="1139" priority="197" stopIfTrue="1" operator="equal">
      <formula>"N/A"</formula>
    </cfRule>
    <cfRule type="cellIs" dxfId="1138" priority="198" stopIfTrue="1" operator="equal">
      <formula>"N/T"</formula>
    </cfRule>
    <cfRule type="cellIs" dxfId="1137" priority="199" stopIfTrue="1" operator="equal">
      <formula>"N/D"</formula>
    </cfRule>
  </conditionalFormatting>
  <conditionalFormatting sqref="D170:D206">
    <cfRule type="cellIs" dxfId="1136" priority="187" stopIfTrue="1" operator="equal">
      <formula>"-"</formula>
    </cfRule>
  </conditionalFormatting>
  <conditionalFormatting sqref="D207">
    <cfRule type="cellIs" dxfId="1135" priority="186" stopIfTrue="1" operator="equal">
      <formula>"-"</formula>
    </cfRule>
  </conditionalFormatting>
  <conditionalFormatting sqref="E209:E243">
    <cfRule type="cellIs" dxfId="1134" priority="185" stopIfTrue="1" operator="equal">
      <formula>"ERR"</formula>
    </cfRule>
  </conditionalFormatting>
  <conditionalFormatting sqref="D209:D243">
    <cfRule type="expression" dxfId="1133" priority="179" stopIfTrue="1">
      <formula>ISBLANK(D209)</formula>
    </cfRule>
    <cfRule type="cellIs" dxfId="1132" priority="180" stopIfTrue="1" operator="equal">
      <formula>"Pasa"</formula>
    </cfRule>
    <cfRule type="cellIs" dxfId="1131" priority="181" stopIfTrue="1" operator="equal">
      <formula>"Falla"</formula>
    </cfRule>
    <cfRule type="cellIs" dxfId="1130" priority="182" stopIfTrue="1" operator="equal">
      <formula>"N/A"</formula>
    </cfRule>
    <cfRule type="cellIs" dxfId="1129" priority="183" stopIfTrue="1" operator="equal">
      <formula>"N/T"</formula>
    </cfRule>
    <cfRule type="cellIs" dxfId="1128" priority="184" stopIfTrue="1" operator="equal">
      <formula>"N/D"</formula>
    </cfRule>
  </conditionalFormatting>
  <conditionalFormatting sqref="D208:D244">
    <cfRule type="cellIs" dxfId="1127" priority="172" stopIfTrue="1" operator="equal">
      <formula>"-"</formula>
    </cfRule>
  </conditionalFormatting>
  <conditionalFormatting sqref="D245">
    <cfRule type="cellIs" dxfId="1126" priority="171" stopIfTrue="1" operator="equal">
      <formula>"-"</formula>
    </cfRule>
  </conditionalFormatting>
  <conditionalFormatting sqref="E247:E281">
    <cfRule type="cellIs" dxfId="1125" priority="170" stopIfTrue="1" operator="equal">
      <formula>"ERR"</formula>
    </cfRule>
  </conditionalFormatting>
  <conditionalFormatting sqref="D247:D281">
    <cfRule type="expression" dxfId="1124" priority="164" stopIfTrue="1">
      <formula>ISBLANK(D247)</formula>
    </cfRule>
    <cfRule type="cellIs" dxfId="1123" priority="165" stopIfTrue="1" operator="equal">
      <formula>"Pasa"</formula>
    </cfRule>
    <cfRule type="cellIs" dxfId="1122" priority="166" stopIfTrue="1" operator="equal">
      <formula>"Falla"</formula>
    </cfRule>
    <cfRule type="cellIs" dxfId="1121" priority="167" stopIfTrue="1" operator="equal">
      <formula>"N/A"</formula>
    </cfRule>
    <cfRule type="cellIs" dxfId="1120" priority="168" stopIfTrue="1" operator="equal">
      <formula>"N/T"</formula>
    </cfRule>
    <cfRule type="cellIs" dxfId="1119" priority="169" stopIfTrue="1" operator="equal">
      <formula>"N/D"</formula>
    </cfRule>
  </conditionalFormatting>
  <conditionalFormatting sqref="D246:D282">
    <cfRule type="cellIs" dxfId="1118" priority="157" stopIfTrue="1" operator="equal">
      <formula>"-"</formula>
    </cfRule>
  </conditionalFormatting>
  <conditionalFormatting sqref="D283">
    <cfRule type="cellIs" dxfId="1117" priority="156" stopIfTrue="1" operator="equal">
      <formula>"-"</formula>
    </cfRule>
  </conditionalFormatting>
  <conditionalFormatting sqref="E285:E319">
    <cfRule type="cellIs" dxfId="1116" priority="155" stopIfTrue="1" operator="equal">
      <formula>"ERR"</formula>
    </cfRule>
  </conditionalFormatting>
  <conditionalFormatting sqref="D285:D319">
    <cfRule type="expression" dxfId="1115" priority="149" stopIfTrue="1">
      <formula>ISBLANK(D285)</formula>
    </cfRule>
    <cfRule type="cellIs" dxfId="1114" priority="150" stopIfTrue="1" operator="equal">
      <formula>"Pasa"</formula>
    </cfRule>
    <cfRule type="cellIs" dxfId="1113" priority="151" stopIfTrue="1" operator="equal">
      <formula>"Falla"</formula>
    </cfRule>
    <cfRule type="cellIs" dxfId="1112" priority="152" stopIfTrue="1" operator="equal">
      <formula>"N/A"</formula>
    </cfRule>
    <cfRule type="cellIs" dxfId="1111" priority="153" stopIfTrue="1" operator="equal">
      <formula>"N/T"</formula>
    </cfRule>
    <cfRule type="cellIs" dxfId="1110" priority="154" stopIfTrue="1" operator="equal">
      <formula>"N/D"</formula>
    </cfRule>
  </conditionalFormatting>
  <conditionalFormatting sqref="D284:D320">
    <cfRule type="cellIs" dxfId="1109" priority="142" stopIfTrue="1" operator="equal">
      <formula>"-"</formula>
    </cfRule>
  </conditionalFormatting>
  <conditionalFormatting sqref="D321">
    <cfRule type="cellIs" dxfId="1108" priority="141" stopIfTrue="1" operator="equal">
      <formula>"-"</formula>
    </cfRule>
  </conditionalFormatting>
  <conditionalFormatting sqref="E323:E357">
    <cfRule type="cellIs" dxfId="1107" priority="140" stopIfTrue="1" operator="equal">
      <formula>"ERR"</formula>
    </cfRule>
  </conditionalFormatting>
  <conditionalFormatting sqref="D323:D357">
    <cfRule type="expression" dxfId="1106" priority="134" stopIfTrue="1">
      <formula>ISBLANK(D323)</formula>
    </cfRule>
    <cfRule type="cellIs" dxfId="1105" priority="135" stopIfTrue="1" operator="equal">
      <formula>"Pasa"</formula>
    </cfRule>
    <cfRule type="cellIs" dxfId="1104" priority="136" stopIfTrue="1" operator="equal">
      <formula>"Falla"</formula>
    </cfRule>
    <cfRule type="cellIs" dxfId="1103" priority="137" stopIfTrue="1" operator="equal">
      <formula>"N/A"</formula>
    </cfRule>
    <cfRule type="cellIs" dxfId="1102" priority="138" stopIfTrue="1" operator="equal">
      <formula>"N/T"</formula>
    </cfRule>
    <cfRule type="cellIs" dxfId="1101" priority="139" stopIfTrue="1" operator="equal">
      <formula>"N/D"</formula>
    </cfRule>
  </conditionalFormatting>
  <conditionalFormatting sqref="D322:D358">
    <cfRule type="cellIs" dxfId="1100" priority="127" stopIfTrue="1" operator="equal">
      <formula>"-"</formula>
    </cfRule>
  </conditionalFormatting>
  <conditionalFormatting sqref="D359">
    <cfRule type="cellIs" dxfId="1099" priority="126" stopIfTrue="1" operator="equal">
      <formula>"-"</formula>
    </cfRule>
  </conditionalFormatting>
  <conditionalFormatting sqref="E361:E395">
    <cfRule type="cellIs" dxfId="1098" priority="125" stopIfTrue="1" operator="equal">
      <formula>"ERR"</formula>
    </cfRule>
  </conditionalFormatting>
  <conditionalFormatting sqref="D361:D395">
    <cfRule type="expression" dxfId="1097" priority="119" stopIfTrue="1">
      <formula>ISBLANK(D361)</formula>
    </cfRule>
    <cfRule type="cellIs" dxfId="1096" priority="120" stopIfTrue="1" operator="equal">
      <formula>"Pasa"</formula>
    </cfRule>
    <cfRule type="cellIs" dxfId="1095" priority="121" stopIfTrue="1" operator="equal">
      <formula>"Falla"</formula>
    </cfRule>
    <cfRule type="cellIs" dxfId="1094" priority="122" stopIfTrue="1" operator="equal">
      <formula>"N/A"</formula>
    </cfRule>
    <cfRule type="cellIs" dxfId="1093" priority="123" stopIfTrue="1" operator="equal">
      <formula>"N/T"</formula>
    </cfRule>
    <cfRule type="cellIs" dxfId="1092" priority="124" stopIfTrue="1" operator="equal">
      <formula>"N/D"</formula>
    </cfRule>
  </conditionalFormatting>
  <conditionalFormatting sqref="D360:D396">
    <cfRule type="cellIs" dxfId="1091" priority="112" stopIfTrue="1" operator="equal">
      <formula>"-"</formula>
    </cfRule>
  </conditionalFormatting>
  <conditionalFormatting sqref="D397">
    <cfRule type="cellIs" dxfId="1090" priority="111" stopIfTrue="1" operator="equal">
      <formula>"-"</formula>
    </cfRule>
  </conditionalFormatting>
  <conditionalFormatting sqref="E399:E433">
    <cfRule type="cellIs" dxfId="1089" priority="110" stopIfTrue="1" operator="equal">
      <formula>"ERR"</formula>
    </cfRule>
  </conditionalFormatting>
  <conditionalFormatting sqref="D399:D433">
    <cfRule type="expression" dxfId="1088" priority="104" stopIfTrue="1">
      <formula>ISBLANK(D399)</formula>
    </cfRule>
    <cfRule type="cellIs" dxfId="1087" priority="105" stopIfTrue="1" operator="equal">
      <formula>"Pasa"</formula>
    </cfRule>
    <cfRule type="cellIs" dxfId="1086" priority="106" stopIfTrue="1" operator="equal">
      <formula>"Falla"</formula>
    </cfRule>
    <cfRule type="cellIs" dxfId="1085" priority="107" stopIfTrue="1" operator="equal">
      <formula>"N/A"</formula>
    </cfRule>
    <cfRule type="cellIs" dxfId="1084" priority="108" stopIfTrue="1" operator="equal">
      <formula>"N/T"</formula>
    </cfRule>
    <cfRule type="cellIs" dxfId="1083" priority="109" stopIfTrue="1" operator="equal">
      <formula>"N/D"</formula>
    </cfRule>
  </conditionalFormatting>
  <conditionalFormatting sqref="D398:D434">
    <cfRule type="cellIs" dxfId="1082" priority="97" stopIfTrue="1" operator="equal">
      <formula>"-"</formula>
    </cfRule>
  </conditionalFormatting>
  <conditionalFormatting sqref="E513:E547">
    <cfRule type="cellIs" dxfId="1081" priority="96" stopIfTrue="1" operator="equal">
      <formula>"ERR"</formula>
    </cfRule>
  </conditionalFormatting>
  <conditionalFormatting sqref="D513:D547">
    <cfRule type="expression" dxfId="1080" priority="90" stopIfTrue="1">
      <formula>ISBLANK(D513)</formula>
    </cfRule>
    <cfRule type="cellIs" dxfId="1079" priority="91" stopIfTrue="1" operator="equal">
      <formula>"Pasa"</formula>
    </cfRule>
    <cfRule type="cellIs" dxfId="1078" priority="92" stopIfTrue="1" operator="equal">
      <formula>"Falla"</formula>
    </cfRule>
    <cfRule type="cellIs" dxfId="1077" priority="93" stopIfTrue="1" operator="equal">
      <formula>"N/A"</formula>
    </cfRule>
    <cfRule type="cellIs" dxfId="1076" priority="94" stopIfTrue="1" operator="equal">
      <formula>"N/T"</formula>
    </cfRule>
    <cfRule type="cellIs" dxfId="1075" priority="95" stopIfTrue="1" operator="equal">
      <formula>"N/D"</formula>
    </cfRule>
  </conditionalFormatting>
  <conditionalFormatting sqref="D511:D548">
    <cfRule type="cellIs" dxfId="1074" priority="83" stopIfTrue="1" operator="equal">
      <formula>"-"</formula>
    </cfRule>
  </conditionalFormatting>
  <conditionalFormatting sqref="E627:E661">
    <cfRule type="cellIs" dxfId="1073" priority="54" stopIfTrue="1" operator="equal">
      <formula>"ERR"</formula>
    </cfRule>
  </conditionalFormatting>
  <conditionalFormatting sqref="D627:D661">
    <cfRule type="expression" dxfId="1072" priority="48" stopIfTrue="1">
      <formula>ISBLANK(D627)</formula>
    </cfRule>
    <cfRule type="cellIs" dxfId="1071" priority="49" stopIfTrue="1" operator="equal">
      <formula>"Pasa"</formula>
    </cfRule>
    <cfRule type="cellIs" dxfId="1070" priority="50" stopIfTrue="1" operator="equal">
      <formula>"Falla"</formula>
    </cfRule>
    <cfRule type="cellIs" dxfId="1069" priority="51" stopIfTrue="1" operator="equal">
      <formula>"N/A"</formula>
    </cfRule>
    <cfRule type="cellIs" dxfId="1068" priority="52" stopIfTrue="1" operator="equal">
      <formula>"N/T"</formula>
    </cfRule>
    <cfRule type="cellIs" dxfId="1067" priority="53" stopIfTrue="1" operator="equal">
      <formula>"N/D"</formula>
    </cfRule>
  </conditionalFormatting>
  <conditionalFormatting sqref="D625:D662">
    <cfRule type="cellIs" dxfId="1066" priority="41" stopIfTrue="1" operator="equal">
      <formula>"-"</formula>
    </cfRule>
  </conditionalFormatting>
  <conditionalFormatting sqref="E665:E699">
    <cfRule type="cellIs" dxfId="1065" priority="40" stopIfTrue="1" operator="equal">
      <formula>"ERR"</formula>
    </cfRule>
  </conditionalFormatting>
  <conditionalFormatting sqref="D665:D699">
    <cfRule type="expression" dxfId="1064" priority="34" stopIfTrue="1">
      <formula>ISBLANK(D665)</formula>
    </cfRule>
    <cfRule type="cellIs" dxfId="1063" priority="35" stopIfTrue="1" operator="equal">
      <formula>"Pasa"</formula>
    </cfRule>
    <cfRule type="cellIs" dxfId="1062" priority="36" stopIfTrue="1" operator="equal">
      <formula>"Falla"</formula>
    </cfRule>
    <cfRule type="cellIs" dxfId="1061" priority="37" stopIfTrue="1" operator="equal">
      <formula>"N/A"</formula>
    </cfRule>
    <cfRule type="cellIs" dxfId="1060" priority="38" stopIfTrue="1" operator="equal">
      <formula>"N/T"</formula>
    </cfRule>
    <cfRule type="cellIs" dxfId="1059" priority="39" stopIfTrue="1" operator="equal">
      <formula>"N/D"</formula>
    </cfRule>
  </conditionalFormatting>
  <conditionalFormatting sqref="D663:D700">
    <cfRule type="cellIs" dxfId="1058" priority="27" stopIfTrue="1" operator="equal">
      <formula>"-"</formula>
    </cfRule>
  </conditionalFormatting>
  <conditionalFormatting sqref="E703:E737">
    <cfRule type="cellIs" dxfId="1057" priority="26" stopIfTrue="1" operator="equal">
      <formula>"ERR"</formula>
    </cfRule>
  </conditionalFormatting>
  <conditionalFormatting sqref="D703:D737">
    <cfRule type="expression" dxfId="1056" priority="20" stopIfTrue="1">
      <formula>ISBLANK(D703)</formula>
    </cfRule>
    <cfRule type="cellIs" dxfId="1055" priority="21" stopIfTrue="1" operator="equal">
      <formula>"Pasa"</formula>
    </cfRule>
    <cfRule type="cellIs" dxfId="1054" priority="22" stopIfTrue="1" operator="equal">
      <formula>"Falla"</formula>
    </cfRule>
    <cfRule type="cellIs" dxfId="1053" priority="23" stopIfTrue="1" operator="equal">
      <formula>"N/A"</formula>
    </cfRule>
    <cfRule type="cellIs" dxfId="1052" priority="24" stopIfTrue="1" operator="equal">
      <formula>"N/T"</formula>
    </cfRule>
    <cfRule type="cellIs" dxfId="1051" priority="25" stopIfTrue="1" operator="equal">
      <formula>"N/D"</formula>
    </cfRule>
  </conditionalFormatting>
  <conditionalFormatting sqref="D701:D738">
    <cfRule type="cellIs" dxfId="1050" priority="13" stopIfTrue="1" operator="equal">
      <formula>"-"</formula>
    </cfRule>
  </conditionalFormatting>
  <conditionalFormatting sqref="K23">
    <cfRule type="expression" dxfId="1049" priority="7" stopIfTrue="1">
      <formula>ISBLANK(K23)</formula>
    </cfRule>
    <cfRule type="cellIs" dxfId="1048" priority="8" stopIfTrue="1" operator="equal">
      <formula>"Pasa"</formula>
    </cfRule>
    <cfRule type="cellIs" dxfId="1047" priority="9" stopIfTrue="1" operator="equal">
      <formula>"Falla"</formula>
    </cfRule>
    <cfRule type="cellIs" dxfId="1046" priority="10" stopIfTrue="1" operator="equal">
      <formula>"N/A"</formula>
    </cfRule>
    <cfRule type="cellIs" dxfId="1045" priority="11" stopIfTrue="1" operator="equal">
      <formula>"N/T"</formula>
    </cfRule>
    <cfRule type="cellIs" dxfId="1044" priority="12" stopIfTrue="1" operator="equal">
      <formula>"N/D"</formula>
    </cfRule>
  </conditionalFormatting>
  <conditionalFormatting sqref="K24">
    <cfRule type="expression" dxfId="1043" priority="1" stopIfTrue="1">
      <formula>ISBLANK(K24)</formula>
    </cfRule>
    <cfRule type="cellIs" dxfId="1042" priority="2" stopIfTrue="1" operator="equal">
      <formula>"Pasa"</formula>
    </cfRule>
    <cfRule type="cellIs" dxfId="1041" priority="3" stopIfTrue="1" operator="equal">
      <formula>"Falla"</formula>
    </cfRule>
    <cfRule type="cellIs" dxfId="1040" priority="4" stopIfTrue="1" operator="equal">
      <formula>"N/A"</formula>
    </cfRule>
    <cfRule type="cellIs" dxfId="1039" priority="5" stopIfTrue="1" operator="equal">
      <formula>"N/T"</formula>
    </cfRule>
    <cfRule type="cellIs" dxfId="10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L695"/>
  <sheetViews>
    <sheetView topLeftCell="A272" zoomScale="117" zoomScaleNormal="117" workbookViewId="0">
      <selection activeCell="D331" sqref="D331"/>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65"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3</v>
      </c>
      <c r="H12" s="42">
        <f ca="1">IF(($G$15+$K$15)=0,0,G12/($G$15+$K$15))</f>
        <v>3.7037037037037035E-2</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0</v>
      </c>
      <c r="H13" s="42">
        <f ca="1">IF(($G$15+$K$15)=0,0,G13/($G$15+$K$15))</f>
        <v>0</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78</v>
      </c>
      <c r="H14" s="42">
        <f ca="1">IF(($G$15+$K$15)=0,0,G14/($G$15+$K$15))</f>
        <v>0.96296296296296291</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81</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https://www.comunidad.madrid/hospital/12octubre/</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https://www.comunidad.madrid/hospital/12octubre/ciudadanos</v>
      </c>
      <c r="D20" s="99" t="s">
        <v>104</v>
      </c>
      <c r="E20" s="79" t="str">
        <f t="shared" si="0"/>
        <v/>
      </c>
      <c r="F20" s="91">
        <f ca="1">COUNTIF($D19:INDIRECT("$D" &amp;  SUM(ROW()-1,'03.Muestra'!$D$45)-1),F19)</f>
        <v>0</v>
      </c>
      <c r="G20" s="91">
        <f ca="1">COUNTIF($D19:INDIRECT("$D" &amp;  SUM(ROW()-1,'03.Muestra'!$D$45)-1),G19)</f>
        <v>0</v>
      </c>
      <c r="H20" s="91">
        <f ca="1">COUNTIF($D19:INDIRECT("$D" &amp;  SUM(ROW()-1,'03.Muestra'!$D$45)-1),H19)</f>
        <v>8</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https://www.comunidad.madrid/hospital/12octubre/profesionales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https://www.comunidad.madrid/hospital/12octubre/comunicación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https://www.comunidad.madrid/hospital/12octubre/nosotros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Centros de especialidades</v>
      </c>
      <c r="C24" s="85" t="str" cm="1">
        <f t="array" ref="C24">IFERROR(INDEX('03.Muestra'!$F$8:$F$42,SMALL(IF("Página Web"='03.Muestra'!$D$8:$D$42,ROW('03.Muestra'!$F$8:$F$42)-MIN(ROW('03.Muestra'!$D$8:$D$42))+1,""),ROW()-18)),"")</f>
        <v>https://www.comunidad.madrid/hospital/12octubre/nosotros/centros-especialidades-perifericos</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Canal solidario</v>
      </c>
      <c r="C25" s="85" t="str" cm="1">
        <f t="array" ref="C25">IFERROR(INDEX('03.Muestra'!$F$8:$F$42,SMALL(IF("Página Web"='03.Muestra'!$D$8:$D$42,ROW('03.Muestra'!$F$8:$F$42)-MIN(ROW('03.Muestra'!$D$8:$D$42))+1,""),ROW()-18)),"")</f>
        <v>https://www.comunidad.madrid/hospital/12octubre/ciudadanos/canal-solidario</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Aniversario</v>
      </c>
      <c r="C26" s="85" t="str" cm="1">
        <f t="array" ref="C26">IFERROR(INDEX('03.Muestra'!$F$8:$F$42,SMALL(IF("Página Web"='03.Muestra'!$D$8:$D$42,ROW('03.Muestra'!$F$8:$F$42)-MIN(ROW('03.Muestra'!$D$8:$D$42))+1,""),ROW()-18)),"")</f>
        <v>https://www.comunidad.madrid/hospital/12octubre/50-aniversario</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https://www.comunidad.madrid/hospital/12octubre/declaracion-accesibilidad</v>
      </c>
      <c r="D27" s="99" t="s">
        <v>104</v>
      </c>
      <c r="E27" s="79" t="str">
        <f t="shared" si="0"/>
        <v/>
      </c>
      <c r="F27" s="18"/>
      <c r="G27" s="18"/>
      <c r="H27" s="18"/>
      <c r="I27" s="18"/>
      <c r="J27" s="18"/>
      <c r="Q27" s="18"/>
      <c r="R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ref="D28:D53" si="1">IF(AND(B28&lt;&gt;"",C28&lt;&gt;""),"N/T","")</f>
        <v/>
      </c>
      <c r="E28" s="79" t="str">
        <f t="shared" si="0"/>
        <v/>
      </c>
      <c r="F28" s="18"/>
      <c r="G28" s="18"/>
      <c r="H28" s="18"/>
      <c r="I28" s="18"/>
      <c r="J28" s="18"/>
      <c r="N28" s="18"/>
      <c r="O28" s="18"/>
      <c r="P28" s="18"/>
      <c r="Q28" s="18"/>
      <c r="R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https://www.comunidad.madrid/hospital/12octubre/</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https://www.comunidad.madrid/hospital/12octubre/ciudadanos</v>
      </c>
      <c r="D58" s="99" t="s">
        <v>104</v>
      </c>
      <c r="E58" s="79" t="str">
        <f t="shared" si="2"/>
        <v/>
      </c>
      <c r="F58" s="91">
        <f ca="1">COUNTIF($D57:INDIRECT("$D" &amp;  SUM(ROW()-1,'03.Muestra'!$D$45)-1),F57)</f>
        <v>0</v>
      </c>
      <c r="G58" s="91">
        <f ca="1">COUNTIF($D57:INDIRECT("$D" &amp;  SUM(ROW()-1,'03.Muestra'!$D$45)-1),G57)</f>
        <v>0</v>
      </c>
      <c r="H58" s="91">
        <f ca="1">COUNTIF($D57:INDIRECT("$D" &amp;  SUM(ROW()-1,'03.Muestra'!$D$45)-1),H57)</f>
        <v>8</v>
      </c>
      <c r="I58" s="91">
        <f ca="1">COUNTIF($D57:INDIRECT("$D" &amp;  SUM(ROW()-1,'03.Muestra'!$D$45)-1),I57)</f>
        <v>0</v>
      </c>
      <c r="J58" s="91">
        <f ca="1">COUNTIF($D57:INDIRECT("$D" &amp;  SUM(ROW()-1,'03.Muestra'!$D$45)-1),J57)</f>
        <v>1</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https://www.comunidad.madrid/hospital/12octubre/profesionales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https://www.comunidad.madrid/hospital/12octubre/comunicación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https://www.comunidad.madrid/hospital/12octubre/nosotros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Centros de especialidades</v>
      </c>
      <c r="C62" s="85" t="str" cm="1">
        <f t="array" ref="C62">IFERROR(INDEX('03.Muestra'!$F$8:$F$42,SMALL(IF("Página Web"='03.Muestra'!$D$8:$D$42,ROW('03.Muestra'!$F$8:$F$42)-MIN(ROW('03.Muestra'!$D$8:$D$42))+1,""),ROW()-56)),"")</f>
        <v>https://www.comunidad.madrid/hospital/12octubre/nosotros/centros-especialidades-perifericos</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Canal solidario</v>
      </c>
      <c r="C63" s="85" t="str" cm="1">
        <f t="array" ref="C63">IFERROR(INDEX('03.Muestra'!$F$8:$F$42,SMALL(IF("Página Web"='03.Muestra'!$D$8:$D$42,ROW('03.Muestra'!$F$8:$F$42)-MIN(ROW('03.Muestra'!$D$8:$D$42))+1,""),ROW()-56)),"")</f>
        <v>https://www.comunidad.madrid/hospital/12octubre/ciudadanos/canal-solidario</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Aniversario</v>
      </c>
      <c r="C64" s="85" t="str" cm="1">
        <f t="array" ref="C64">IFERROR(INDEX('03.Muestra'!$F$8:$F$42,SMALL(IF("Página Web"='03.Muestra'!$D$8:$D$42,ROW('03.Muestra'!$F$8:$F$42)-MIN(ROW('03.Muestra'!$D$8:$D$42))+1,""),ROW()-56)),"")</f>
        <v>https://www.comunidad.madrid/hospital/12octubre/50-aniversario</v>
      </c>
      <c r="D64" s="99" t="s">
        <v>92</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https://www.comunidad.madrid/hospital/12octubre/declaracion-accesibilidad</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ref="D66:D91" si="3">IF(AND(B66&lt;&gt;"",C66&lt;&gt;""),"N/T","")</f>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https://www.comunidad.madrid/hospital/12octubre/</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https://www.comunidad.madrid/hospital/12octubre/ciudadanos</v>
      </c>
      <c r="D96" s="99" t="s">
        <v>104</v>
      </c>
      <c r="E96" s="79" t="str">
        <f t="shared" si="4"/>
        <v/>
      </c>
      <c r="F96" s="91">
        <f ca="1">COUNTIF($D95:INDIRECT("$D" &amp;  SUM(ROW()-1,'03.Muestra'!$D$45)-1),F95)</f>
        <v>0</v>
      </c>
      <c r="G96" s="91">
        <f ca="1">COUNTIF($D95:INDIRECT("$D" &amp;  SUM(ROW()-1,'03.Muestra'!$D$45)-1),G95)</f>
        <v>0</v>
      </c>
      <c r="H96" s="91">
        <f ca="1">COUNTIF($D95:INDIRECT("$D" &amp;  SUM(ROW()-1,'03.Muestra'!$D$45)-1),H95)</f>
        <v>8</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https://www.comunidad.madrid/hospital/12octubre/profesionales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https://www.comunidad.madrid/hospital/12octubre/comunicación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https://www.comunidad.madrid/hospital/12octubre/nosotros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Centros de especialidades</v>
      </c>
      <c r="C100" s="85" t="str" cm="1">
        <f t="array" ref="C100">IFERROR(INDEX('03.Muestra'!$F$8:$F$42,SMALL(IF("Página Web"='03.Muestra'!$D$8:$D$42,ROW('03.Muestra'!$F$8:$F$42)-MIN(ROW('03.Muestra'!$D$8:$D$42))+1,""),ROW()-94)),"")</f>
        <v>https://www.comunidad.madrid/hospital/12octubre/nosotros/centros-especialidades-perifericos</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Canal solidario</v>
      </c>
      <c r="C101" s="85" t="str" cm="1">
        <f t="array" ref="C101">IFERROR(INDEX('03.Muestra'!$F$8:$F$42,SMALL(IF("Página Web"='03.Muestra'!$D$8:$D$42,ROW('03.Muestra'!$F$8:$F$42)-MIN(ROW('03.Muestra'!$D$8:$D$42))+1,""),ROW()-94)),"")</f>
        <v>https://www.comunidad.madrid/hospital/12octubre/ciudadanos/canal-solidario</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Aniversario</v>
      </c>
      <c r="C102" s="85" t="str" cm="1">
        <f t="array" ref="C102">IFERROR(INDEX('03.Muestra'!$F$8:$F$42,SMALL(IF("Página Web"='03.Muestra'!$D$8:$D$42,ROW('03.Muestra'!$F$8:$F$42)-MIN(ROW('03.Muestra'!$D$8:$D$42))+1,""),ROW()-94)),"")</f>
        <v>https://www.comunidad.madrid/hospital/12octubre/50-aniversario</v>
      </c>
      <c r="D102" s="99" t="s">
        <v>92</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https://www.comunidad.madrid/hospital/12octubre/declaracion-accesibilidad</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ref="D104:D129" si="5">IF(AND(B104&lt;&gt;"",C104&lt;&gt;""),"N/T","")</f>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https://www.comunidad.madrid/hospital/12octubre/</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https://www.comunidad.madrid/hospital/12octubre/ciudadanos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9</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https://www.comunidad.madrid/hospital/12octubre/profesionales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https://www.comunidad.madrid/hospital/12octubre/comunicación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https://www.comunidad.madrid/hospital/12octubre/nosotros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Centros de especialidades</v>
      </c>
      <c r="C138" s="85" t="str" cm="1">
        <f t="array" ref="C138">IFERROR(INDEX('03.Muestra'!$F$8:$F$42,SMALL(IF("Página Web"='03.Muestra'!$D$8:$D$42,ROW('03.Muestra'!$F$8:$F$42)-MIN(ROW('03.Muestra'!$D$8:$D$42))+1,""),ROW()-132)),"")</f>
        <v>https://www.comunidad.madrid/hospital/12octubre/nosotros/centros-especialidades-perifericos</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Canal solidario</v>
      </c>
      <c r="C139" s="85" t="str" cm="1">
        <f t="array" ref="C139">IFERROR(INDEX('03.Muestra'!$F$8:$F$42,SMALL(IF("Página Web"='03.Muestra'!$D$8:$D$42,ROW('03.Muestra'!$F$8:$F$42)-MIN(ROW('03.Muestra'!$D$8:$D$42))+1,""),ROW()-132)),"")</f>
        <v>https://www.comunidad.madrid/hospital/12octubre/ciudadanos/canal-solidario</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Aniversario</v>
      </c>
      <c r="C140" s="85" t="str" cm="1">
        <f t="array" ref="C140">IFERROR(INDEX('03.Muestra'!$F$8:$F$42,SMALL(IF("Página Web"='03.Muestra'!$D$8:$D$42,ROW('03.Muestra'!$F$8:$F$42)-MIN(ROW('03.Muestra'!$D$8:$D$42))+1,""),ROW()-132)),"")</f>
        <v>https://www.comunidad.madrid/hospital/12octubre/50-aniversario</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https://www.comunidad.madrid/hospital/12octubre/declaracion-accesibilidad</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ref="D142:D167" si="7">IF(AND(B142&lt;&gt;"",C142&lt;&gt;""),"N/T","")</f>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https://www.comunidad.madrid/hospital/12octubre/</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https://www.comunidad.madrid/hospital/12octubre/ciudadanos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9</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https://www.comunidad.madrid/hospital/12octubre/profesionales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https://www.comunidad.madrid/hospital/12octubre/comunicación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https://www.comunidad.madrid/hospital/12octubre/nosotros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Centros de especialidades</v>
      </c>
      <c r="C176" s="85" t="str" cm="1">
        <f t="array" ref="C176">IFERROR(INDEX('03.Muestra'!$F$8:$F$42,SMALL(IF("Página Web"='03.Muestra'!$D$8:$D$42,ROW('03.Muestra'!$F$8:$F$42)-MIN(ROW('03.Muestra'!$D$8:$D$42))+1,""),ROW()-170)),"")</f>
        <v>https://www.comunidad.madrid/hospital/12octubre/nosotros/centros-especialidades-perifericos</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Canal solidario</v>
      </c>
      <c r="C177" s="85" t="str" cm="1">
        <f t="array" ref="C177">IFERROR(INDEX('03.Muestra'!$F$8:$F$42,SMALL(IF("Página Web"='03.Muestra'!$D$8:$D$42,ROW('03.Muestra'!$F$8:$F$42)-MIN(ROW('03.Muestra'!$D$8:$D$42))+1,""),ROW()-170)),"")</f>
        <v>https://www.comunidad.madrid/hospital/12octubre/ciudadanos/canal-solidario</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Aniversario</v>
      </c>
      <c r="C178" s="85" t="str" cm="1">
        <f t="array" ref="C178">IFERROR(INDEX('03.Muestra'!$F$8:$F$42,SMALL(IF("Página Web"='03.Muestra'!$D$8:$D$42,ROW('03.Muestra'!$F$8:$F$42)-MIN(ROW('03.Muestra'!$D$8:$D$42))+1,""),ROW()-170)),"")</f>
        <v>https://www.comunidad.madrid/hospital/12octubre/50-aniversario</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https://www.comunidad.madrid/hospital/12octubre/declaracion-accesibilidad</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ref="D180:D205" si="9">IF(AND(B180&lt;&gt;"",C180&lt;&gt;""),"N/T","")</f>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https://www.comunidad.madrid/hospital/12octubre/</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https://www.comunidad.madrid/hospital/12octubre/ciudadanos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9</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https://www.comunidad.madrid/hospital/12octubre/profesionales</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https://www.comunidad.madrid/hospital/12octubre/comunicación</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https://www.comunidad.madrid/hospital/12octubre/nosotros</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Centros de especialidades</v>
      </c>
      <c r="C214" s="85" t="str" cm="1">
        <f t="array" ref="C214">IFERROR(INDEX('03.Muestra'!$F$8:$F$42,SMALL(IF("Página Web"='03.Muestra'!$D$8:$D$42,ROW('03.Muestra'!$F$8:$F$42)-MIN(ROW('03.Muestra'!$D$8:$D$42))+1,""),ROW()-208)),"")</f>
        <v>https://www.comunidad.madrid/hospital/12octubre/nosotros/centros-especialidades-perifericos</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Canal solidario</v>
      </c>
      <c r="C215" s="85" t="str" cm="1">
        <f t="array" ref="C215">IFERROR(INDEX('03.Muestra'!$F$8:$F$42,SMALL(IF("Página Web"='03.Muestra'!$D$8:$D$42,ROW('03.Muestra'!$F$8:$F$42)-MIN(ROW('03.Muestra'!$D$8:$D$42))+1,""),ROW()-208)),"")</f>
        <v>https://www.comunidad.madrid/hospital/12octubre/ciudadanos/canal-solidario</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Aniversario</v>
      </c>
      <c r="C216" s="85" t="str" cm="1">
        <f t="array" ref="C216">IFERROR(INDEX('03.Muestra'!$F$8:$F$42,SMALL(IF("Página Web"='03.Muestra'!$D$8:$D$42,ROW('03.Muestra'!$F$8:$F$42)-MIN(ROW('03.Muestra'!$D$8:$D$42))+1,""),ROW()-208)),"")</f>
        <v>https://www.comunidad.madrid/hospital/12octubre/50-aniversario</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https://www.comunidad.madrid/hospital/12octubre/declaracion-accesibilidad</v>
      </c>
      <c r="D217" s="99" t="s">
        <v>104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ref="D218:D243" si="11">IF(AND(B218&lt;&gt;"",C218&lt;&gt;""),"N/T","")</f>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https://www.comunidad.madrid/hospital/12octubre/</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https://www.comunidad.madrid/hospital/12octubre/ciudadanos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9</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https://www.comunidad.madrid/hospital/12octubre/profesionales</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https://www.comunidad.madrid/hospital/12octubre/comunicación</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https://www.comunidad.madrid/hospital/12octubre/nosotros</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Centros de especialidades</v>
      </c>
      <c r="C252" s="85" t="str" cm="1">
        <f t="array" ref="C252">IFERROR(INDEX('03.Muestra'!$F$8:$F$42,SMALL(IF("Página Web"='03.Muestra'!$D$8:$D$42,ROW('03.Muestra'!$F$8:$F$42)-MIN(ROW('03.Muestra'!$D$8:$D$42))+1,""),ROW()-246)),"")</f>
        <v>https://www.comunidad.madrid/hospital/12octubre/nosotros/centros-especialidades-perifericos</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Canal solidario</v>
      </c>
      <c r="C253" s="85" t="str" cm="1">
        <f t="array" ref="C253">IFERROR(INDEX('03.Muestra'!$F$8:$F$42,SMALL(IF("Página Web"='03.Muestra'!$D$8:$D$42,ROW('03.Muestra'!$F$8:$F$42)-MIN(ROW('03.Muestra'!$D$8:$D$42))+1,""),ROW()-246)),"")</f>
        <v>https://www.comunidad.madrid/hospital/12octubre/ciudadanos/canal-solidario</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Aniversario</v>
      </c>
      <c r="C254" s="85" t="str" cm="1">
        <f t="array" ref="C254">IFERROR(INDEX('03.Muestra'!$F$8:$F$42,SMALL(IF("Página Web"='03.Muestra'!$D$8:$D$42,ROW('03.Muestra'!$F$8:$F$42)-MIN(ROW('03.Muestra'!$D$8:$D$42))+1,""),ROW()-246)),"")</f>
        <v>https://www.comunidad.madrid/hospital/12octubre/50-aniversario</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Accesibilidad</v>
      </c>
      <c r="C255" s="85" t="str" cm="1">
        <f t="array" ref="C255">IFERROR(INDEX('03.Muestra'!$F$8:$F$42,SMALL(IF("Página Web"='03.Muestra'!$D$8:$D$42,ROW('03.Muestra'!$F$8:$F$42)-MIN(ROW('03.Muestra'!$D$8:$D$42))+1,""),ROW()-246)),"")</f>
        <v>https://www.comunidad.madrid/hospital/12octubre/declaracion-accesibilidad</v>
      </c>
      <c r="D255" s="99" t="s">
        <v>104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ref="D256:D281" si="13">IF(AND(B256&lt;&gt;"",C256&lt;&gt;""),"N/T","")</f>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https://www.comunidad.madrid/hospital/12octubre/</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https://www.comunidad.madrid/hospital/12octubre/ciudadanos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9</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https://www.comunidad.madrid/hospital/12octubre/profesionales</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https://www.comunidad.madrid/hospital/12octubre/comunicación</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https://www.comunidad.madrid/hospital/12octubre/nosotros</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Centros de especialidades</v>
      </c>
      <c r="C290" s="85" t="str" cm="1">
        <f t="array" ref="C290">IFERROR(INDEX('03.Muestra'!$F$8:$F$42,SMALL(IF("Página Web"='03.Muestra'!$D$8:$D$42,ROW('03.Muestra'!$F$8:$F$42)-MIN(ROW('03.Muestra'!$D$8:$D$42))+1,""),ROW()-284)),"")</f>
        <v>https://www.comunidad.madrid/hospital/12octubre/nosotros/centros-especialidades-perifericos</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Canal solidario</v>
      </c>
      <c r="C291" s="85" t="str" cm="1">
        <f t="array" ref="C291">IFERROR(INDEX('03.Muestra'!$F$8:$F$42,SMALL(IF("Página Web"='03.Muestra'!$D$8:$D$42,ROW('03.Muestra'!$F$8:$F$42)-MIN(ROW('03.Muestra'!$D$8:$D$42))+1,""),ROW()-284)),"")</f>
        <v>https://www.comunidad.madrid/hospital/12octubre/ciudadanos/canal-solidario</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Aniversario</v>
      </c>
      <c r="C292" s="85" t="str" cm="1">
        <f t="array" ref="C292">IFERROR(INDEX('03.Muestra'!$F$8:$F$42,SMALL(IF("Página Web"='03.Muestra'!$D$8:$D$42,ROW('03.Muestra'!$F$8:$F$42)-MIN(ROW('03.Muestra'!$D$8:$D$42))+1,""),ROW()-284)),"")</f>
        <v>https://www.comunidad.madrid/hospital/12octubre/50-aniversario</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Accesibilidad</v>
      </c>
      <c r="C293" s="85" t="str" cm="1">
        <f t="array" ref="C293">IFERROR(INDEX('03.Muestra'!$F$8:$F$42,SMALL(IF("Página Web"='03.Muestra'!$D$8:$D$42,ROW('03.Muestra'!$F$8:$F$42)-MIN(ROW('03.Muestra'!$D$8:$D$42))+1,""),ROW()-284)),"")</f>
        <v>https://www.comunidad.madrid/hospital/12octubre/declaracion-accesibilidad</v>
      </c>
      <c r="D293" s="99" t="s">
        <v>104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ref="D294:D319" si="15">IF(AND(B294&lt;&gt;"",C294&lt;&gt;""),"N/T","")</f>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https://www.comunidad.madrid/hospital/12octubre/</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https://www.comunidad.madrid/hospital/12octubre/ciudadanos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9</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https://www.comunidad.madrid/hospital/12octubre/profesionales</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https://www.comunidad.madrid/hospital/12octubre/comunicación</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https://www.comunidad.madrid/hospital/12octubre/nosotros</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Centros de especialidades</v>
      </c>
      <c r="C328" s="85" t="str" cm="1">
        <f t="array" ref="C328">IFERROR(INDEX('03.Muestra'!$F$8:$F$42,SMALL(IF("Página Web"='03.Muestra'!$D$8:$D$42,ROW('03.Muestra'!$F$8:$F$42)-MIN(ROW('03.Muestra'!$D$8:$D$42))+1,""),ROW()-322)),"")</f>
        <v>https://www.comunidad.madrid/hospital/12octubre/nosotros/centros-especialidades-perifericos</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Canal solidario</v>
      </c>
      <c r="C329" s="85" t="str" cm="1">
        <f t="array" ref="C329">IFERROR(INDEX('03.Muestra'!$F$8:$F$42,SMALL(IF("Página Web"='03.Muestra'!$D$8:$D$42,ROW('03.Muestra'!$F$8:$F$42)-MIN(ROW('03.Muestra'!$D$8:$D$42))+1,""),ROW()-322)),"")</f>
        <v>https://www.comunidad.madrid/hospital/12octubre/ciudadanos/canal-solidario</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Aniversario</v>
      </c>
      <c r="C330" s="85" t="str" cm="1">
        <f t="array" ref="C330">IFERROR(INDEX('03.Muestra'!$F$8:$F$42,SMALL(IF("Página Web"='03.Muestra'!$D$8:$D$42,ROW('03.Muestra'!$F$8:$F$42)-MIN(ROW('03.Muestra'!$D$8:$D$42))+1,""),ROW()-322)),"")</f>
        <v>https://www.comunidad.madrid/hospital/12octubre/50-aniversario</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Accesibilidad</v>
      </c>
      <c r="C331" s="85" t="str" cm="1">
        <f t="array" ref="C331">IFERROR(INDEX('03.Muestra'!$F$8:$F$42,SMALL(IF("Página Web"='03.Muestra'!$D$8:$D$42,ROW('03.Muestra'!$F$8:$F$42)-MIN(ROW('03.Muestra'!$D$8:$D$42))+1,""),ROW()-322)),"")</f>
        <v>https://www.comunidad.madrid/hospital/12octubre/declaracion-accesibilidad</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ref="D332:D357" si="17">IF(AND(B332&lt;&gt;"",C332&lt;&gt;""),"N/T","")</f>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E57:E91 E95:E129 E209:E243 E247:E281 E285:E319 E323:E357 E19:E53">
    <cfRule type="cellIs" dxfId="1037" priority="210" stopIfTrue="1" operator="equal">
      <formula>"ERR"</formula>
    </cfRule>
  </conditionalFormatting>
  <conditionalFormatting sqref="F19:J19 F57:J57 F95:J95 F209:J209 F247:J247 F285:J285 F323:J323 F133:J133 F171:J171">
    <cfRule type="expression" dxfId="1036" priority="204" stopIfTrue="1">
      <formula>ISBLANK(F19)</formula>
    </cfRule>
    <cfRule type="cellIs" dxfId="1035" priority="205" stopIfTrue="1" operator="equal">
      <formula>"Pasa"</formula>
    </cfRule>
    <cfRule type="cellIs" dxfId="1034" priority="206" stopIfTrue="1" operator="equal">
      <formula>"Falla"</formula>
    </cfRule>
    <cfRule type="cellIs" dxfId="1033" priority="207" stopIfTrue="1" operator="equal">
      <formula>"N/A"</formula>
    </cfRule>
    <cfRule type="cellIs" dxfId="1032" priority="208" stopIfTrue="1" operator="equal">
      <formula>"N/T"</formula>
    </cfRule>
    <cfRule type="cellIs" dxfId="1031" priority="209" stopIfTrue="1" operator="equal">
      <formula>"N/D"</formula>
    </cfRule>
  </conditionalFormatting>
  <conditionalFormatting sqref="D19:D53">
    <cfRule type="expression" dxfId="1030" priority="84" stopIfTrue="1">
      <formula>ISBLANK(D19)</formula>
    </cfRule>
    <cfRule type="cellIs" dxfId="1029" priority="85" stopIfTrue="1" operator="equal">
      <formula>"Pasa"</formula>
    </cfRule>
    <cfRule type="cellIs" dxfId="1028" priority="86" stopIfTrue="1" operator="equal">
      <formula>"Falla"</formula>
    </cfRule>
    <cfRule type="cellIs" dxfId="1027" priority="87" stopIfTrue="1" operator="equal">
      <formula>"N/A"</formula>
    </cfRule>
    <cfRule type="cellIs" dxfId="1026" priority="88" stopIfTrue="1" operator="equal">
      <formula>"N/T"</formula>
    </cfRule>
    <cfRule type="cellIs" dxfId="1025" priority="89" stopIfTrue="1" operator="equal">
      <formula>"N/D"</formula>
    </cfRule>
  </conditionalFormatting>
  <conditionalFormatting sqref="D19:D53">
    <cfRule type="cellIs" dxfId="1024" priority="83" stopIfTrue="1" operator="equal">
      <formula>"-"</formula>
    </cfRule>
  </conditionalFormatting>
  <conditionalFormatting sqref="D57:D91">
    <cfRule type="expression" dxfId="1023" priority="77" stopIfTrue="1">
      <formula>ISBLANK(D57)</formula>
    </cfRule>
    <cfRule type="cellIs" dxfId="1022" priority="78" stopIfTrue="1" operator="equal">
      <formula>"Pasa"</formula>
    </cfRule>
    <cfRule type="cellIs" dxfId="1021" priority="79" stopIfTrue="1" operator="equal">
      <formula>"Falla"</formula>
    </cfRule>
    <cfRule type="cellIs" dxfId="1020" priority="80" stopIfTrue="1" operator="equal">
      <formula>"N/A"</formula>
    </cfRule>
    <cfRule type="cellIs" dxfId="1019" priority="81" stopIfTrue="1" operator="equal">
      <formula>"N/T"</formula>
    </cfRule>
    <cfRule type="cellIs" dxfId="1018" priority="82" stopIfTrue="1" operator="equal">
      <formula>"N/D"</formula>
    </cfRule>
  </conditionalFormatting>
  <conditionalFormatting sqref="D57:D91">
    <cfRule type="cellIs" dxfId="1017" priority="76" stopIfTrue="1" operator="equal">
      <formula>"-"</formula>
    </cfRule>
  </conditionalFormatting>
  <conditionalFormatting sqref="D95:D129">
    <cfRule type="expression" dxfId="1016" priority="70" stopIfTrue="1">
      <formula>ISBLANK(D95)</formula>
    </cfRule>
    <cfRule type="cellIs" dxfId="1015" priority="71" stopIfTrue="1" operator="equal">
      <formula>"Pasa"</formula>
    </cfRule>
    <cfRule type="cellIs" dxfId="1014" priority="72" stopIfTrue="1" operator="equal">
      <formula>"Falla"</formula>
    </cfRule>
    <cfRule type="cellIs" dxfId="1013" priority="73" stopIfTrue="1" operator="equal">
      <formula>"N/A"</formula>
    </cfRule>
    <cfRule type="cellIs" dxfId="1012" priority="74" stopIfTrue="1" operator="equal">
      <formula>"N/T"</formula>
    </cfRule>
    <cfRule type="cellIs" dxfId="1011" priority="75" stopIfTrue="1" operator="equal">
      <formula>"N/D"</formula>
    </cfRule>
  </conditionalFormatting>
  <conditionalFormatting sqref="D95:D129">
    <cfRule type="cellIs" dxfId="1010" priority="69" stopIfTrue="1" operator="equal">
      <formula>"-"</formula>
    </cfRule>
  </conditionalFormatting>
  <conditionalFormatting sqref="D209:D243">
    <cfRule type="expression" dxfId="1009" priority="63" stopIfTrue="1">
      <formula>ISBLANK(D209)</formula>
    </cfRule>
    <cfRule type="cellIs" dxfId="1008" priority="64" stopIfTrue="1" operator="equal">
      <formula>"Pasa"</formula>
    </cfRule>
    <cfRule type="cellIs" dxfId="1007" priority="65" stopIfTrue="1" operator="equal">
      <formula>"Falla"</formula>
    </cfRule>
    <cfRule type="cellIs" dxfId="1006" priority="66" stopIfTrue="1" operator="equal">
      <formula>"N/A"</formula>
    </cfRule>
    <cfRule type="cellIs" dxfId="1005" priority="67" stopIfTrue="1" operator="equal">
      <formula>"N/T"</formula>
    </cfRule>
    <cfRule type="cellIs" dxfId="1004" priority="68" stopIfTrue="1" operator="equal">
      <formula>"N/D"</formula>
    </cfRule>
  </conditionalFormatting>
  <conditionalFormatting sqref="D209:D243">
    <cfRule type="cellIs" dxfId="1003" priority="62" stopIfTrue="1" operator="equal">
      <formula>"-"</formula>
    </cfRule>
  </conditionalFormatting>
  <conditionalFormatting sqref="D247:D281">
    <cfRule type="expression" dxfId="1002" priority="56" stopIfTrue="1">
      <formula>ISBLANK(D247)</formula>
    </cfRule>
    <cfRule type="cellIs" dxfId="1001" priority="57" stopIfTrue="1" operator="equal">
      <formula>"Pasa"</formula>
    </cfRule>
    <cfRule type="cellIs" dxfId="1000" priority="58" stopIfTrue="1" operator="equal">
      <formula>"Falla"</formula>
    </cfRule>
    <cfRule type="cellIs" dxfId="999" priority="59" stopIfTrue="1" operator="equal">
      <formula>"N/A"</formula>
    </cfRule>
    <cfRule type="cellIs" dxfId="998" priority="60" stopIfTrue="1" operator="equal">
      <formula>"N/T"</formula>
    </cfRule>
    <cfRule type="cellIs" dxfId="997" priority="61" stopIfTrue="1" operator="equal">
      <formula>"N/D"</formula>
    </cfRule>
  </conditionalFormatting>
  <conditionalFormatting sqref="D247:D281">
    <cfRule type="cellIs" dxfId="996" priority="55" stopIfTrue="1" operator="equal">
      <formula>"-"</formula>
    </cfRule>
  </conditionalFormatting>
  <conditionalFormatting sqref="D285:D319">
    <cfRule type="expression" dxfId="995" priority="49" stopIfTrue="1">
      <formula>ISBLANK(D285)</formula>
    </cfRule>
    <cfRule type="cellIs" dxfId="994" priority="50" stopIfTrue="1" operator="equal">
      <formula>"Pasa"</formula>
    </cfRule>
    <cfRule type="cellIs" dxfId="993" priority="51" stopIfTrue="1" operator="equal">
      <formula>"Falla"</formula>
    </cfRule>
    <cfRule type="cellIs" dxfId="992" priority="52" stopIfTrue="1" operator="equal">
      <formula>"N/A"</formula>
    </cfRule>
    <cfRule type="cellIs" dxfId="991" priority="53" stopIfTrue="1" operator="equal">
      <formula>"N/T"</formula>
    </cfRule>
    <cfRule type="cellIs" dxfId="990" priority="54" stopIfTrue="1" operator="equal">
      <formula>"N/D"</formula>
    </cfRule>
  </conditionalFormatting>
  <conditionalFormatting sqref="D285:D319">
    <cfRule type="cellIs" dxfId="989" priority="48" stopIfTrue="1" operator="equal">
      <formula>"-"</formula>
    </cfRule>
  </conditionalFormatting>
  <conditionalFormatting sqref="D323:D357">
    <cfRule type="expression" dxfId="988" priority="42" stopIfTrue="1">
      <formula>ISBLANK(D323)</formula>
    </cfRule>
    <cfRule type="cellIs" dxfId="987" priority="43" stopIfTrue="1" operator="equal">
      <formula>"Pasa"</formula>
    </cfRule>
    <cfRule type="cellIs" dxfId="986" priority="44" stopIfTrue="1" operator="equal">
      <formula>"Falla"</formula>
    </cfRule>
    <cfRule type="cellIs" dxfId="985" priority="45" stopIfTrue="1" operator="equal">
      <formula>"N/A"</formula>
    </cfRule>
    <cfRule type="cellIs" dxfId="984" priority="46" stopIfTrue="1" operator="equal">
      <formula>"N/T"</formula>
    </cfRule>
    <cfRule type="cellIs" dxfId="983" priority="47" stopIfTrue="1" operator="equal">
      <formula>"N/D"</formula>
    </cfRule>
  </conditionalFormatting>
  <conditionalFormatting sqref="D323:D357">
    <cfRule type="cellIs" dxfId="982" priority="41" stopIfTrue="1" operator="equal">
      <formula>"-"</formula>
    </cfRule>
  </conditionalFormatting>
  <conditionalFormatting sqref="E133:E167">
    <cfRule type="cellIs" dxfId="981" priority="40" stopIfTrue="1" operator="equal">
      <formula>"ERR"</formula>
    </cfRule>
  </conditionalFormatting>
  <conditionalFormatting sqref="D133:D167">
    <cfRule type="expression" dxfId="980" priority="28" stopIfTrue="1">
      <formula>ISBLANK(D133)</formula>
    </cfRule>
    <cfRule type="cellIs" dxfId="979" priority="29" stopIfTrue="1" operator="equal">
      <formula>"Pasa"</formula>
    </cfRule>
    <cfRule type="cellIs" dxfId="978" priority="30" stopIfTrue="1" operator="equal">
      <formula>"Falla"</formula>
    </cfRule>
    <cfRule type="cellIs" dxfId="977" priority="31" stopIfTrue="1" operator="equal">
      <formula>"N/A"</formula>
    </cfRule>
    <cfRule type="cellIs" dxfId="976" priority="32" stopIfTrue="1" operator="equal">
      <formula>"N/T"</formula>
    </cfRule>
    <cfRule type="cellIs" dxfId="975" priority="33" stopIfTrue="1" operator="equal">
      <formula>"N/D"</formula>
    </cfRule>
  </conditionalFormatting>
  <conditionalFormatting sqref="D133:D167">
    <cfRule type="cellIs" dxfId="974" priority="27" stopIfTrue="1" operator="equal">
      <formula>"-"</formula>
    </cfRule>
  </conditionalFormatting>
  <conditionalFormatting sqref="E171:E205">
    <cfRule type="cellIs" dxfId="973" priority="26" stopIfTrue="1" operator="equal">
      <formula>"ERR"</formula>
    </cfRule>
  </conditionalFormatting>
  <conditionalFormatting sqref="D171:D205">
    <cfRule type="expression" dxfId="972" priority="14" stopIfTrue="1">
      <formula>ISBLANK(D171)</formula>
    </cfRule>
    <cfRule type="cellIs" dxfId="971" priority="15" stopIfTrue="1" operator="equal">
      <formula>"Pasa"</formula>
    </cfRule>
    <cfRule type="cellIs" dxfId="970" priority="16" stopIfTrue="1" operator="equal">
      <formula>"Falla"</formula>
    </cfRule>
    <cfRule type="cellIs" dxfId="969" priority="17" stopIfTrue="1" operator="equal">
      <formula>"N/A"</formula>
    </cfRule>
    <cfRule type="cellIs" dxfId="968" priority="18" stopIfTrue="1" operator="equal">
      <formula>"N/T"</formula>
    </cfRule>
    <cfRule type="cellIs" dxfId="967" priority="19" stopIfTrue="1" operator="equal">
      <formula>"N/D"</formula>
    </cfRule>
  </conditionalFormatting>
  <conditionalFormatting sqref="D171:D205">
    <cfRule type="cellIs" dxfId="966" priority="13" stopIfTrue="1" operator="equal">
      <formula>"-"</formula>
    </cfRule>
  </conditionalFormatting>
  <conditionalFormatting sqref="K23">
    <cfRule type="expression" dxfId="965" priority="7" stopIfTrue="1">
      <formula>ISBLANK(K23)</formula>
    </cfRule>
    <cfRule type="cellIs" dxfId="964" priority="8" stopIfTrue="1" operator="equal">
      <formula>"Pasa"</formula>
    </cfRule>
    <cfRule type="cellIs" dxfId="963" priority="9" stopIfTrue="1" operator="equal">
      <formula>"Falla"</formula>
    </cfRule>
    <cfRule type="cellIs" dxfId="962" priority="10" stopIfTrue="1" operator="equal">
      <formula>"N/A"</formula>
    </cfRule>
    <cfRule type="cellIs" dxfId="961" priority="11" stopIfTrue="1" operator="equal">
      <formula>"N/T"</formula>
    </cfRule>
    <cfRule type="cellIs" dxfId="960" priority="12" stopIfTrue="1" operator="equal">
      <formula>"N/D"</formula>
    </cfRule>
  </conditionalFormatting>
  <conditionalFormatting sqref="K24">
    <cfRule type="expression" dxfId="959" priority="1" stopIfTrue="1">
      <formula>ISBLANK(K24)</formula>
    </cfRule>
    <cfRule type="cellIs" dxfId="958" priority="2" stopIfTrue="1" operator="equal">
      <formula>"Pasa"</formula>
    </cfRule>
    <cfRule type="cellIs" dxfId="957" priority="3" stopIfTrue="1" operator="equal">
      <formula>"Falla"</formula>
    </cfRule>
    <cfRule type="cellIs" dxfId="956" priority="4" stopIfTrue="1" operator="equal">
      <formula>"N/A"</formula>
    </cfRule>
    <cfRule type="cellIs" dxfId="955" priority="5" stopIfTrue="1" operator="equal">
      <formula>"N/T"</formula>
    </cfRule>
    <cfRule type="cellIs" dxfId="954"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L1982"/>
  <sheetViews>
    <sheetView topLeftCell="A728" zoomScale="117" zoomScaleNormal="117" workbookViewId="0">
      <selection activeCell="D745" sqref="D745"/>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6.6328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65" customHeight="1">
      <c r="B7" s="18"/>
      <c r="C7" s="18"/>
      <c r="D7" s="18"/>
      <c r="E7" s="79"/>
      <c r="F7" s="18"/>
      <c r="G7" s="18"/>
      <c r="H7" s="18"/>
      <c r="I7" s="18"/>
      <c r="J7" s="18"/>
      <c r="K7" s="18"/>
      <c r="L7" s="18"/>
      <c r="M7" s="18"/>
      <c r="N7" s="18"/>
      <c r="O7" s="18"/>
    </row>
    <row r="8" spans="1:64" ht="18.899999999999999" customHeight="1">
      <c r="B8" s="82" t="s">
        <v>141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191</v>
      </c>
      <c r="H12" s="42">
        <f ca="1">IF(($G$15+$K$15)=0,0,G12/($G$15+$K$15))</f>
        <v>0.42444444444444446</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46</v>
      </c>
      <c r="H13" s="42">
        <f ca="1">IF(($G$15+$K$15)=0,0,G13/($G$15+$K$15))</f>
        <v>0.10222222222222223</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213</v>
      </c>
      <c r="H14" s="42">
        <f ca="1">IF(($G$15+$K$15)=0,0,G14/($G$15+$K$15))</f>
        <v>0.47333333333333333</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450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https://www.comunidad.madrid/hospital/12octubre/</v>
      </c>
      <c r="D19" s="99" t="s">
        <v>94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https://www.comunidad.madrid/hospital/12octubre/ciudadanos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1</v>
      </c>
      <c r="J20" s="91">
        <f ca="1">COUNTIF($D19:INDIRECT("$D" &amp;  SUM(ROW()-1,'03.Muestra'!$D$45)-1),J19)</f>
        <v>8</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https://www.comunidad.madrid/hospital/12octubre/profesionales</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https://www.comunidad.madrid/hospital/12octubre/comunicación</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https://www.comunidad.madrid/hospital/12octubre/nosotros</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Centros de especialidades</v>
      </c>
      <c r="C24" s="85" t="str" cm="1">
        <f t="array" ref="C24">IFERROR(INDEX('03.Muestra'!$F$8:$F$42,SMALL(IF("Página Web"='03.Muestra'!$D$8:$D$42,ROW('03.Muestra'!$F$8:$F$42)-MIN(ROW('03.Muestra'!$D$8:$D$42))+1,""),ROW()-18)),"")</f>
        <v>https://www.comunidad.madrid/hospital/12octubre/nosotros/centros-especialidades-perifericos</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Canal solidario</v>
      </c>
      <c r="C25" s="85" t="str" cm="1">
        <f t="array" ref="C25">IFERROR(INDEX('03.Muestra'!$F$8:$F$42,SMALL(IF("Página Web"='03.Muestra'!$D$8:$D$42,ROW('03.Muestra'!$F$8:$F$42)-MIN(ROW('03.Muestra'!$D$8:$D$42))+1,""),ROW()-18)),"")</f>
        <v>https://www.comunidad.madrid/hospital/12octubre/ciudadanos/canal-solidario</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Aniversario</v>
      </c>
      <c r="C26" s="85" t="str" cm="1">
        <f t="array" ref="C26">IFERROR(INDEX('03.Muestra'!$F$8:$F$42,SMALL(IF("Página Web"='03.Muestra'!$D$8:$D$42,ROW('03.Muestra'!$F$8:$F$42)-MIN(ROW('03.Muestra'!$D$8:$D$42))+1,""),ROW()-18)),"")</f>
        <v>https://www.comunidad.madrid/hospital/12octubre/50-aniversario</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Accesibilidad</v>
      </c>
      <c r="C27" s="85" t="str" cm="1">
        <f t="array" ref="C27">IFERROR(INDEX('03.Muestra'!$F$8:$F$42,SMALL(IF("Página Web"='03.Muestra'!$D$8:$D$42,ROW('03.Muestra'!$F$8:$F$42)-MIN(ROW('03.Muestra'!$D$8:$D$42))+1,""),ROW()-18)),"")</f>
        <v>https://www.comunidad.madrid/hospital/12octubre/declaracion-accesibilidad</v>
      </c>
      <c r="D27" s="99" t="s">
        <v>92</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ref="D28:D53" si="1">IF(AND(B28&lt;&gt;"",C28&lt;&gt;""),"N/T","")</f>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https://www.comunidad.madrid/hospital/12octubre/</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https://www.comunidad.madrid/hospital/12octubre/ciudadanos</v>
      </c>
      <c r="D58" s="99" t="s">
        <v>104</v>
      </c>
      <c r="E58" s="79" t="str">
        <f t="shared" si="2"/>
        <v/>
      </c>
      <c r="F58" s="91">
        <f ca="1">COUNTIF($D57:INDIRECT("$D" &amp;  SUM(ROW()-1,'03.Muestra'!$D$45)-1),F57)</f>
        <v>0</v>
      </c>
      <c r="G58" s="91">
        <f ca="1">COUNTIF($D57:INDIRECT("$D" &amp;  SUM(ROW()-1,'03.Muestra'!$D$45)-1),G57)</f>
        <v>0</v>
      </c>
      <c r="H58" s="91">
        <f ca="1">COUNTIF($D57:INDIRECT("$D" &amp;  SUM(ROW()-1,'03.Muestra'!$D$45)-1),H57)</f>
        <v>9</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https://www.comunidad.madrid/hospital/12octubre/profesionales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https://www.comunidad.madrid/hospital/12octubre/comunicación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https://www.comunidad.madrid/hospital/12octubre/nosotros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Centros de especialidades</v>
      </c>
      <c r="C62" s="85" t="str" cm="1">
        <f t="array" ref="C62">IFERROR(INDEX('03.Muestra'!$F$8:$F$42,SMALL(IF("Página Web"='03.Muestra'!$D$8:$D$42,ROW('03.Muestra'!$F$8:$F$42)-MIN(ROW('03.Muestra'!$D$8:$D$42))+1,""),ROW()-56)),"")</f>
        <v>https://www.comunidad.madrid/hospital/12octubre/nosotros/centros-especialidades-perifericos</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Canal solidario</v>
      </c>
      <c r="C63" s="85" t="str" cm="1">
        <f t="array" ref="C63">IFERROR(INDEX('03.Muestra'!$F$8:$F$42,SMALL(IF("Página Web"='03.Muestra'!$D$8:$D$42,ROW('03.Muestra'!$F$8:$F$42)-MIN(ROW('03.Muestra'!$D$8:$D$42))+1,""),ROW()-56)),"")</f>
        <v>https://www.comunidad.madrid/hospital/12octubre/ciudadanos/canal-solidario</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Aniversario</v>
      </c>
      <c r="C64" s="85" t="str" cm="1">
        <f t="array" ref="C64">IFERROR(INDEX('03.Muestra'!$F$8:$F$42,SMALL(IF("Página Web"='03.Muestra'!$D$8:$D$42,ROW('03.Muestra'!$F$8:$F$42)-MIN(ROW('03.Muestra'!$D$8:$D$42))+1,""),ROW()-56)),"")</f>
        <v>https://www.comunidad.madrid/hospital/12octubre/50-aniversario</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Accesibilidad</v>
      </c>
      <c r="C65" s="85" t="str" cm="1">
        <f t="array" ref="C65">IFERROR(INDEX('03.Muestra'!$F$8:$F$42,SMALL(IF("Página Web"='03.Muestra'!$D$8:$D$42,ROW('03.Muestra'!$F$8:$F$42)-MIN(ROW('03.Muestra'!$D$8:$D$42))+1,""),ROW()-56)),"")</f>
        <v>https://www.comunidad.madrid/hospital/12octubre/declaracion-accesibilidad</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ref="D66:D91" si="3">IF(AND(B66&lt;&gt;"",C66&lt;&gt;""),"N/T","")</f>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https://www.comunidad.madrid/hospital/12octubre/</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https://www.comunidad.madrid/hospital/12octubre/ciudadanos</v>
      </c>
      <c r="D96" s="99" t="s">
        <v>104</v>
      </c>
      <c r="E96" s="79" t="str">
        <f t="shared" si="4"/>
        <v/>
      </c>
      <c r="F96" s="91">
        <f ca="1">COUNTIF($D95:INDIRECT("$D" &amp;  SUM(ROW()-1,'03.Muestra'!$D$45)-1),F95)</f>
        <v>0</v>
      </c>
      <c r="G96" s="91">
        <f ca="1">COUNTIF($D95:INDIRECT("$D" &amp;  SUM(ROW()-1,'03.Muestra'!$D$45)-1),G95)</f>
        <v>0</v>
      </c>
      <c r="H96" s="91">
        <f ca="1">COUNTIF($D95:INDIRECT("$D" &amp;  SUM(ROW()-1,'03.Muestra'!$D$45)-1),H95)</f>
        <v>8</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https://www.comunidad.madrid/hospital/12octubre/profesionales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https://www.comunidad.madrid/hospital/12octubre/comunicación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https://www.comunidad.madrid/hospital/12octubre/nosotros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Centros de especialidades</v>
      </c>
      <c r="C100" s="85" t="str" cm="1">
        <f t="array" ref="C100">IFERROR(INDEX('03.Muestra'!$F$8:$F$42,SMALL(IF("Página Web"='03.Muestra'!$D$8:$D$42,ROW('03.Muestra'!$F$8:$F$42)-MIN(ROW('03.Muestra'!$D$8:$D$42))+1,""),ROW()-94)),"")</f>
        <v>https://www.comunidad.madrid/hospital/12octubre/nosotros/centros-especialidades-perifericos</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Canal solidario</v>
      </c>
      <c r="C101" s="85" t="str" cm="1">
        <f t="array" ref="C101">IFERROR(INDEX('03.Muestra'!$F$8:$F$42,SMALL(IF("Página Web"='03.Muestra'!$D$8:$D$42,ROW('03.Muestra'!$F$8:$F$42)-MIN(ROW('03.Muestra'!$D$8:$D$42))+1,""),ROW()-94)),"")</f>
        <v>https://www.comunidad.madrid/hospital/12octubre/ciudadanos/canal-solidario</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Aniversario</v>
      </c>
      <c r="C102" s="85" t="str" cm="1">
        <f t="array" ref="C102">IFERROR(INDEX('03.Muestra'!$F$8:$F$42,SMALL(IF("Página Web"='03.Muestra'!$D$8:$D$42,ROW('03.Muestra'!$F$8:$F$42)-MIN(ROW('03.Muestra'!$D$8:$D$42))+1,""),ROW()-94)),"")</f>
        <v>https://www.comunidad.madrid/hospital/12octubre/50-aniversario</v>
      </c>
      <c r="D102" s="99" t="s">
        <v>92</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Accesibilidad</v>
      </c>
      <c r="C103" s="85" t="str" cm="1">
        <f t="array" ref="C103">IFERROR(INDEX('03.Muestra'!$F$8:$F$42,SMALL(IF("Página Web"='03.Muestra'!$D$8:$D$42,ROW('03.Muestra'!$F$8:$F$42)-MIN(ROW('03.Muestra'!$D$8:$D$42))+1,""),ROW()-94)),"")</f>
        <v>https://www.comunidad.madrid/hospital/12octubre/declaracion-accesibilidad</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ref="D104:D129" si="5">IF(AND(B104&lt;&gt;"",C104&lt;&gt;""),"N/T","")</f>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https://www.comunidad.madrid/hospital/12octubre/</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https://www.comunidad.madrid/hospital/12octubre/ciudadanos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9</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https://www.comunidad.madrid/hospital/12octubre/profesionales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https://www.comunidad.madrid/hospital/12octubre/comunicación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https://www.comunidad.madrid/hospital/12octubre/nosotros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Centros de especialidades</v>
      </c>
      <c r="C138" s="85" t="str" cm="1">
        <f t="array" ref="C138">IFERROR(INDEX('03.Muestra'!$F$8:$F$42,SMALL(IF("Página Web"='03.Muestra'!$D$8:$D$42,ROW('03.Muestra'!$F$8:$F$42)-MIN(ROW('03.Muestra'!$D$8:$D$42))+1,""),ROW()-132)),"")</f>
        <v>https://www.comunidad.madrid/hospital/12octubre/nosotros/centros-especialidades-perifericos</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Canal solidario</v>
      </c>
      <c r="C139" s="85" t="str" cm="1">
        <f t="array" ref="C139">IFERROR(INDEX('03.Muestra'!$F$8:$F$42,SMALL(IF("Página Web"='03.Muestra'!$D$8:$D$42,ROW('03.Muestra'!$F$8:$F$42)-MIN(ROW('03.Muestra'!$D$8:$D$42))+1,""),ROW()-132)),"")</f>
        <v>https://www.comunidad.madrid/hospital/12octubre/ciudadanos/canal-solidario</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Aniversario</v>
      </c>
      <c r="C140" s="85" t="str" cm="1">
        <f t="array" ref="C140">IFERROR(INDEX('03.Muestra'!$F$8:$F$42,SMALL(IF("Página Web"='03.Muestra'!$D$8:$D$42,ROW('03.Muestra'!$F$8:$F$42)-MIN(ROW('03.Muestra'!$D$8:$D$42))+1,""),ROW()-132)),"")</f>
        <v>https://www.comunidad.madrid/hospital/12octubre/50-aniversario</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Accesibilidad</v>
      </c>
      <c r="C141" s="85" t="str" cm="1">
        <f t="array" ref="C141">IFERROR(INDEX('03.Muestra'!$F$8:$F$42,SMALL(IF("Página Web"='03.Muestra'!$D$8:$D$42,ROW('03.Muestra'!$F$8:$F$42)-MIN(ROW('03.Muestra'!$D$8:$D$42))+1,""),ROW()-132)),"")</f>
        <v>https://www.comunidad.madrid/hospital/12octubre/declaracion-accesibilidad</v>
      </c>
      <c r="D141" s="211"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ref="D142:D167" si="7">IF(AND(B142&lt;&gt;"",C142&lt;&gt;""),"N/T","")</f>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https://www.comunidad.madrid/hospital/12octubre/</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https://www.comunidad.madrid/hospital/12octubre/ciudadanos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9</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https://www.comunidad.madrid/hospital/12octubre/profesionales</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https://www.comunidad.madrid/hospital/12octubre/comunicación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https://www.comunidad.madrid/hospital/12octubre/nosotros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Centros de especialidades</v>
      </c>
      <c r="C176" s="85" t="str" cm="1">
        <f t="array" ref="C176">IFERROR(INDEX('03.Muestra'!$F$8:$F$42,SMALL(IF("Página Web"='03.Muestra'!$D$8:$D$42,ROW('03.Muestra'!$F$8:$F$42)-MIN(ROW('03.Muestra'!$D$8:$D$42))+1,""),ROW()-170)),"")</f>
        <v>https://www.comunidad.madrid/hospital/12octubre/nosotros/centros-especialidades-perifericos</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Canal solidario</v>
      </c>
      <c r="C177" s="85" t="str" cm="1">
        <f t="array" ref="C177">IFERROR(INDEX('03.Muestra'!$F$8:$F$42,SMALL(IF("Página Web"='03.Muestra'!$D$8:$D$42,ROW('03.Muestra'!$F$8:$F$42)-MIN(ROW('03.Muestra'!$D$8:$D$42))+1,""),ROW()-170)),"")</f>
        <v>https://www.comunidad.madrid/hospital/12octubre/ciudadanos/canal-solidario</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Aniversario</v>
      </c>
      <c r="C178" s="85" t="str" cm="1">
        <f t="array" ref="C178">IFERROR(INDEX('03.Muestra'!$F$8:$F$42,SMALL(IF("Página Web"='03.Muestra'!$D$8:$D$42,ROW('03.Muestra'!$F$8:$F$42)-MIN(ROW('03.Muestra'!$D$8:$D$42))+1,""),ROW()-170)),"")</f>
        <v>https://www.comunidad.madrid/hospital/12octubre/50-aniversario</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Accesibilidad</v>
      </c>
      <c r="C179" s="85" t="str" cm="1">
        <f t="array" ref="C179">IFERROR(INDEX('03.Muestra'!$F$8:$F$42,SMALL(IF("Página Web"='03.Muestra'!$D$8:$D$42,ROW('03.Muestra'!$F$8:$F$42)-MIN(ROW('03.Muestra'!$D$8:$D$42))+1,""),ROW()-170)),"")</f>
        <v>https://www.comunidad.madrid/hospital/12octubre/declaracion-accesibilidad</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ref="D180:D205" si="9">IF(AND(B180&lt;&gt;"",C180&lt;&gt;""),"N/T","")</f>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https://www.comunidad.madrid/hospital/12octubre/</v>
      </c>
      <c r="D209" s="99" t="s">
        <v>94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https://www.comunidad.madrid/hospital/12octubre/ciudadanos</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3</v>
      </c>
      <c r="J210" s="91">
        <f ca="1">COUNTIF($D209:INDIRECT("$D" &amp;  SUM(ROW()-1,'03.Muestra'!$D$45)-1),J209)</f>
        <v>6</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https://www.comunidad.madrid/hospital/12octubre/profesionales</v>
      </c>
      <c r="D211" s="99" t="s">
        <v>92</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https://www.comunidad.madrid/hospital/12octubre/comunicación</v>
      </c>
      <c r="D212" s="99" t="s">
        <v>92</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https://www.comunidad.madrid/hospital/12octubre/nosotros</v>
      </c>
      <c r="D213" s="99" t="s">
        <v>92</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Centros de especialidades</v>
      </c>
      <c r="C214" s="85" t="str" cm="1">
        <f t="array" ref="C214">IFERROR(INDEX('03.Muestra'!$F$8:$F$42,SMALL(IF("Página Web"='03.Muestra'!$D$8:$D$42,ROW('03.Muestra'!$F$8:$F$42)-MIN(ROW('03.Muestra'!$D$8:$D$42))+1,""),ROW()-208)),"")</f>
        <v>https://www.comunidad.madrid/hospital/12octubre/nosotros/centros-especialidades-perifericos</v>
      </c>
      <c r="D214" s="99" t="s">
        <v>94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Canal solidario</v>
      </c>
      <c r="C215" s="85" t="str" cm="1">
        <f t="array" ref="C215">IFERROR(INDEX('03.Muestra'!$F$8:$F$42,SMALL(IF("Página Web"='03.Muestra'!$D$8:$D$42,ROW('03.Muestra'!$F$8:$F$42)-MIN(ROW('03.Muestra'!$D$8:$D$42))+1,""),ROW()-208)),"")</f>
        <v>https://www.comunidad.madrid/hospital/12octubre/ciudadanos/canal-solidario</v>
      </c>
      <c r="D215" s="99" t="s">
        <v>92</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Aniversario</v>
      </c>
      <c r="C216" s="85" t="str" cm="1">
        <f t="array" ref="C216">IFERROR(INDEX('03.Muestra'!$F$8:$F$42,SMALL(IF("Página Web"='03.Muestra'!$D$8:$D$42,ROW('03.Muestra'!$F$8:$F$42)-MIN(ROW('03.Muestra'!$D$8:$D$42))+1,""),ROW()-208)),"")</f>
        <v>https://www.comunidad.madrid/hospital/12octubre/50-aniversario</v>
      </c>
      <c r="D216" s="99" t="s">
        <v>92</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Accesibilidad</v>
      </c>
      <c r="C217" s="85" t="str" cm="1">
        <f t="array" ref="C217">IFERROR(INDEX('03.Muestra'!$F$8:$F$42,SMALL(IF("Página Web"='03.Muestra'!$D$8:$D$42,ROW('03.Muestra'!$F$8:$F$42)-MIN(ROW('03.Muestra'!$D$8:$D$42))+1,""),ROW()-208)),"")</f>
        <v>https://www.comunidad.madrid/hospital/12octubre/declaracion-accesibilidad</v>
      </c>
      <c r="D217" s="99" t="s">
        <v>92</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ref="D218:D243" si="11">IF(AND(B218&lt;&gt;"",C218&lt;&gt;""),"N/T","")</f>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https://www.comunidad.madrid/hospital/12octubre/</v>
      </c>
      <c r="D247" s="99" t="s">
        <v>92</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https://www.comunidad.madrid/hospital/12octubre/ciudadanos</v>
      </c>
      <c r="D248" s="99" t="s">
        <v>92</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9</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https://www.comunidad.madrid/hospital/12octubre/profesionales</v>
      </c>
      <c r="D249" s="99" t="s">
        <v>92</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https://www.comunidad.madrid/hospital/12octubre/comunicación</v>
      </c>
      <c r="D250" s="99" t="s">
        <v>92</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https://www.comunidad.madrid/hospital/12octubre/nosotros</v>
      </c>
      <c r="D251" s="99" t="s">
        <v>92</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Centros de especialidades</v>
      </c>
      <c r="C252" s="85" t="str" cm="1">
        <f t="array" ref="C252">IFERROR(INDEX('03.Muestra'!$F$8:$F$42,SMALL(IF("Página Web"='03.Muestra'!$D$8:$D$42,ROW('03.Muestra'!$F$8:$F$42)-MIN(ROW('03.Muestra'!$D$8:$D$42))+1,""),ROW()-246)),"")</f>
        <v>https://www.comunidad.madrid/hospital/12octubre/nosotros/centros-especialidades-perifericos</v>
      </c>
      <c r="D252" s="99" t="s">
        <v>92</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Canal solidario</v>
      </c>
      <c r="C253" s="85" t="str" cm="1">
        <f t="array" ref="C253">IFERROR(INDEX('03.Muestra'!$F$8:$F$42,SMALL(IF("Página Web"='03.Muestra'!$D$8:$D$42,ROW('03.Muestra'!$F$8:$F$42)-MIN(ROW('03.Muestra'!$D$8:$D$42))+1,""),ROW()-246)),"")</f>
        <v>https://www.comunidad.madrid/hospital/12octubre/ciudadanos/canal-solidario</v>
      </c>
      <c r="D253" s="99" t="s">
        <v>92</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Aniversario</v>
      </c>
      <c r="C254" s="85" t="str" cm="1">
        <f t="array" ref="C254">IFERROR(INDEX('03.Muestra'!$F$8:$F$42,SMALL(IF("Página Web"='03.Muestra'!$D$8:$D$42,ROW('03.Muestra'!$F$8:$F$42)-MIN(ROW('03.Muestra'!$D$8:$D$42))+1,""),ROW()-246)),"")</f>
        <v>https://www.comunidad.madrid/hospital/12octubre/50-aniversario</v>
      </c>
      <c r="D254" s="99" t="s">
        <v>92</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Accesibilidad</v>
      </c>
      <c r="C255" s="85" t="str" cm="1">
        <f t="array" ref="C255">IFERROR(INDEX('03.Muestra'!$F$8:$F$42,SMALL(IF("Página Web"='03.Muestra'!$D$8:$D$42,ROW('03.Muestra'!$F$8:$F$42)-MIN(ROW('03.Muestra'!$D$8:$D$42))+1,""),ROW()-246)),"")</f>
        <v>https://www.comunidad.madrid/hospital/12octubre/declaracion-accesibilidad</v>
      </c>
      <c r="D255" s="99" t="s">
        <v>92</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ref="D256:D281" si="13">IF(AND(B256&lt;&gt;"",C256&lt;&gt;""),"N/T","")</f>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https://www.comunidad.madrid/hospital/12octubre/</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https://www.comunidad.madrid/hospital/12octubre/ciudadanos</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9</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https://www.comunidad.madrid/hospital/12octubre/profesionales</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https://www.comunidad.madrid/hospital/12octubre/comunicación</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https://www.comunidad.madrid/hospital/12octubre/nosotros</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Centros de especialidades</v>
      </c>
      <c r="C290" s="85" t="str" cm="1">
        <f t="array" ref="C290">IFERROR(INDEX('03.Muestra'!$F$8:$F$42,SMALL(IF("Página Web"='03.Muestra'!$D$8:$D$42,ROW('03.Muestra'!$F$8:$F$42)-MIN(ROW('03.Muestra'!$D$8:$D$42))+1,""),ROW()-284)),"")</f>
        <v>https://www.comunidad.madrid/hospital/12octubre/nosotros/centros-especialidades-perifericos</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Canal solidario</v>
      </c>
      <c r="C291" s="85" t="str" cm="1">
        <f t="array" ref="C291">IFERROR(INDEX('03.Muestra'!$F$8:$F$42,SMALL(IF("Página Web"='03.Muestra'!$D$8:$D$42,ROW('03.Muestra'!$F$8:$F$42)-MIN(ROW('03.Muestra'!$D$8:$D$42))+1,""),ROW()-284)),"")</f>
        <v>https://www.comunidad.madrid/hospital/12octubre/ciudadanos/canal-solidario</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Aniversario</v>
      </c>
      <c r="C292" s="85" t="str" cm="1">
        <f t="array" ref="C292">IFERROR(INDEX('03.Muestra'!$F$8:$F$42,SMALL(IF("Página Web"='03.Muestra'!$D$8:$D$42,ROW('03.Muestra'!$F$8:$F$42)-MIN(ROW('03.Muestra'!$D$8:$D$42))+1,""),ROW()-284)),"")</f>
        <v>https://www.comunidad.madrid/hospital/12octubre/50-aniversario</v>
      </c>
      <c r="D292" s="99" t="s">
        <v>94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Accesibilidad</v>
      </c>
      <c r="C293" s="85" t="str" cm="1">
        <f t="array" ref="C293">IFERROR(INDEX('03.Muestra'!$F$8:$F$42,SMALL(IF("Página Web"='03.Muestra'!$D$8:$D$42,ROW('03.Muestra'!$F$8:$F$42)-MIN(ROW('03.Muestra'!$D$8:$D$42))+1,""),ROW()-284)),"")</f>
        <v>https://www.comunidad.madrid/hospital/12octubre/declaracion-accesibilidad</v>
      </c>
      <c r="D293" s="99" t="s">
        <v>94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ref="D294:D319" si="15">IF(AND(B294&lt;&gt;"",C294&lt;&gt;""),"N/T","")</f>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https://www.comunidad.madrid/hospital/12octubre/</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https://www.comunidad.madrid/hospital/12octubre/ciudadanos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9</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https://www.comunidad.madrid/hospital/12octubre/profesionales</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https://www.comunidad.madrid/hospital/12octubre/comunicación</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https://www.comunidad.madrid/hospital/12octubre/nosotros</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Centros de especialidades</v>
      </c>
      <c r="C328" s="85" t="str" cm="1">
        <f t="array" ref="C328">IFERROR(INDEX('03.Muestra'!$F$8:$F$42,SMALL(IF("Página Web"='03.Muestra'!$D$8:$D$42,ROW('03.Muestra'!$F$8:$F$42)-MIN(ROW('03.Muestra'!$D$8:$D$42))+1,""),ROW()-322)),"")</f>
        <v>https://www.comunidad.madrid/hospital/12octubre/nosotros/centros-especialidades-perifericos</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Canal solidario</v>
      </c>
      <c r="C329" s="85" t="str" cm="1">
        <f t="array" ref="C329">IFERROR(INDEX('03.Muestra'!$F$8:$F$42,SMALL(IF("Página Web"='03.Muestra'!$D$8:$D$42,ROW('03.Muestra'!$F$8:$F$42)-MIN(ROW('03.Muestra'!$D$8:$D$42))+1,""),ROW()-322)),"")</f>
        <v>https://www.comunidad.madrid/hospital/12octubre/ciudadanos/canal-solidario</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Aniversario</v>
      </c>
      <c r="C330" s="85" t="str" cm="1">
        <f t="array" ref="C330">IFERROR(INDEX('03.Muestra'!$F$8:$F$42,SMALL(IF("Página Web"='03.Muestra'!$D$8:$D$42,ROW('03.Muestra'!$F$8:$F$42)-MIN(ROW('03.Muestra'!$D$8:$D$42))+1,""),ROW()-322)),"")</f>
        <v>https://www.comunidad.madrid/hospital/12octubre/50-aniversario</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Accesibilidad</v>
      </c>
      <c r="C331" s="85" t="str" cm="1">
        <f t="array" ref="C331">IFERROR(INDEX('03.Muestra'!$F$8:$F$42,SMALL(IF("Página Web"='03.Muestra'!$D$8:$D$42,ROW('03.Muestra'!$F$8:$F$42)-MIN(ROW('03.Muestra'!$D$8:$D$42))+1,""),ROW()-322)),"")</f>
        <v>https://www.comunidad.madrid/hospital/12octubre/declaracion-accesibilidad</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ref="D332:D357" si="17">IF(AND(B332&lt;&gt;"",C332&lt;&gt;""),"N/T","")</f>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https://www.comunidad.madrid/hospital/12octubre/</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https://www.comunidad.madrid/hospital/12octubre/ciudadanos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9</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https://www.comunidad.madrid/hospital/12octubre/profesionales</v>
      </c>
      <c r="D363" s="99" t="s">
        <v>104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Comunicación</v>
      </c>
      <c r="C364" s="85" t="str" cm="1">
        <f t="array" ref="C364">IFERROR(INDEX('03.Muestra'!$F$8:$F$42,SMALL(IF("Página Web"='03.Muestra'!$D$8:$D$42,ROW('03.Muestra'!$F$8:$F$42)-MIN(ROW('03.Muestra'!$D$8:$D$42))+1,""),ROW()-360)),"")</f>
        <v>https://www.comunidad.madrid/hospital/12octubre/comunicación</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https://www.comunidad.madrid/hospital/12octubre/nosotros</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Centros de especialidades</v>
      </c>
      <c r="C366" s="85" t="str" cm="1">
        <f t="array" ref="C366">IFERROR(INDEX('03.Muestra'!$F$8:$F$42,SMALL(IF("Página Web"='03.Muestra'!$D$8:$D$42,ROW('03.Muestra'!$F$8:$F$42)-MIN(ROW('03.Muestra'!$D$8:$D$42))+1,""),ROW()-360)),"")</f>
        <v>https://www.comunidad.madrid/hospital/12octubre/nosotros/centros-especialidades-perifericos</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Canal solidario</v>
      </c>
      <c r="C367" s="85" t="str" cm="1">
        <f t="array" ref="C367">IFERROR(INDEX('03.Muestra'!$F$8:$F$42,SMALL(IF("Página Web"='03.Muestra'!$D$8:$D$42,ROW('03.Muestra'!$F$8:$F$42)-MIN(ROW('03.Muestra'!$D$8:$D$42))+1,""),ROW()-360)),"")</f>
        <v>https://www.comunidad.madrid/hospital/12octubre/ciudadanos/canal-solidario</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Aniversario</v>
      </c>
      <c r="C368" s="85" t="str" cm="1">
        <f t="array" ref="C368">IFERROR(INDEX('03.Muestra'!$F$8:$F$42,SMALL(IF("Página Web"='03.Muestra'!$D$8:$D$42,ROW('03.Muestra'!$F$8:$F$42)-MIN(ROW('03.Muestra'!$D$8:$D$42))+1,""),ROW()-360)),"")</f>
        <v>https://www.comunidad.madrid/hospital/12octubre/50-aniversario</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Accesibilidad</v>
      </c>
      <c r="C369" s="85" t="str" cm="1">
        <f t="array" ref="C369">IFERROR(INDEX('03.Muestra'!$F$8:$F$42,SMALL(IF("Página Web"='03.Muestra'!$D$8:$D$42,ROW('03.Muestra'!$F$8:$F$42)-MIN(ROW('03.Muestra'!$D$8:$D$42))+1,""),ROW()-360)),"")</f>
        <v>https://www.comunidad.madrid/hospital/12octubre/declaracion-accesibilidad</v>
      </c>
      <c r="D369" s="99" t="s">
        <v>104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IFERROR(INDEX('03.Muestra'!$B$8:$B$42,SMALL(IF("Página Web"='03.Muestra'!$D$8:$D$42,ROW('03.Muestra'!$B$8:$B$42)-MIN(ROW('03.Muestra'!$D$8:$D$42))+1,""),ROW()-360)),"")</f>
        <v/>
      </c>
      <c r="B370" s="85" t="str" cm="1">
        <f t="array" ref="B370">IFERROR(INDEX('03.Muestra'!$C$8:$C$42,SMALL(IF("Página Web"='03.Muestra'!$D$8:$D$42,ROW('03.Muestra'!$C$8:$C$42)-MIN(ROW('03.Muestra'!$D$8:$D$42))+1,""),ROW()-360)),"")</f>
        <v/>
      </c>
      <c r="C370" s="85" t="str" cm="1">
        <f t="array" ref="C370">IFERROR(INDEX('03.Muestra'!$F$8:$F$42,SMALL(IF("Página Web"='03.Muestra'!$D$8:$D$42,ROW('03.Muestra'!$F$8:$F$42)-MIN(ROW('03.Muestra'!$D$8:$D$42))+1,""),ROW()-360)),"")</f>
        <v/>
      </c>
      <c r="D370" s="99" t="str">
        <f t="shared" ref="D370:D395" si="19">IF(AND(B370&lt;&gt;"",C370&lt;&gt;""),"N/T","")</f>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https://www.comunidad.madrid/hospital/12octubre/</v>
      </c>
      <c r="D399" s="99" t="s">
        <v>92</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https://www.comunidad.madrid/hospital/12octubre/ciudadanos</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8</v>
      </c>
      <c r="I400" s="91">
        <f ca="1">COUNTIF($D399:INDIRECT("$D" &amp;  SUM(ROW()-1,'03.Muestra'!$D$45)-1),I399)</f>
        <v>0</v>
      </c>
      <c r="J400" s="91">
        <f ca="1">COUNTIF($D399:INDIRECT("$D" &amp;  SUM(ROW()-1,'03.Muestra'!$D$45)-1),J399)</f>
        <v>1</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https://www.comunidad.madrid/hospital/12octubre/profesionales</v>
      </c>
      <c r="D401" s="99" t="s">
        <v>104</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Comunicación</v>
      </c>
      <c r="C402" s="85" t="str" cm="1">
        <f t="array" ref="C402">IFERROR(INDEX('03.Muestra'!$F$8:$F$42,SMALL(IF("Página Web"='03.Muestra'!$D$8:$D$42,ROW('03.Muestra'!$F$8:$F$42)-MIN(ROW('03.Muestra'!$D$8:$D$42))+1,""),ROW()-398)),"")</f>
        <v>https://www.comunidad.madrid/hospital/12octubre/comunicación</v>
      </c>
      <c r="D402" s="99" t="s">
        <v>104</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https://www.comunidad.madrid/hospital/12octubre/nosotros</v>
      </c>
      <c r="D403" s="99" t="s">
        <v>104</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Centros de especialidades</v>
      </c>
      <c r="C404" s="85" t="str" cm="1">
        <f t="array" ref="C404">IFERROR(INDEX('03.Muestra'!$F$8:$F$42,SMALL(IF("Página Web"='03.Muestra'!$D$8:$D$42,ROW('03.Muestra'!$F$8:$F$42)-MIN(ROW('03.Muestra'!$D$8:$D$42))+1,""),ROW()-398)),"")</f>
        <v>https://www.comunidad.madrid/hospital/12octubre/nosotros/centros-especialidades-perifericos</v>
      </c>
      <c r="D404" s="99" t="s">
        <v>104</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Canal solidario</v>
      </c>
      <c r="C405" s="85" t="str" cm="1">
        <f t="array" ref="C405">IFERROR(INDEX('03.Muestra'!$F$8:$F$42,SMALL(IF("Página Web"='03.Muestra'!$D$8:$D$42,ROW('03.Muestra'!$F$8:$F$42)-MIN(ROW('03.Muestra'!$D$8:$D$42))+1,""),ROW()-398)),"")</f>
        <v>https://www.comunidad.madrid/hospital/12octubre/ciudadanos/canal-solidario</v>
      </c>
      <c r="D405" s="99" t="s">
        <v>104</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Aniversario</v>
      </c>
      <c r="C406" s="85" t="str" cm="1">
        <f t="array" ref="C406">IFERROR(INDEX('03.Muestra'!$F$8:$F$42,SMALL(IF("Página Web"='03.Muestra'!$D$8:$D$42,ROW('03.Muestra'!$F$8:$F$42)-MIN(ROW('03.Muestra'!$D$8:$D$42))+1,""),ROW()-398)),"")</f>
        <v>https://www.comunidad.madrid/hospital/12octubre/50-aniversario</v>
      </c>
      <c r="D406" s="99" t="s">
        <v>104</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Accesibilidad</v>
      </c>
      <c r="C407" s="85" t="str" cm="1">
        <f t="array" ref="C407">IFERROR(INDEX('03.Muestra'!$F$8:$F$42,SMALL(IF("Página Web"='03.Muestra'!$D$8:$D$42,ROW('03.Muestra'!$F$8:$F$42)-MIN(ROW('03.Muestra'!$D$8:$D$42))+1,""),ROW()-398)),"")</f>
        <v>https://www.comunidad.madrid/hospital/12octubre/declaracion-accesibilidad</v>
      </c>
      <c r="D407" s="99" t="s">
        <v>104</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IFERROR(INDEX('03.Muestra'!$B$8:$B$42,SMALL(IF("Página Web"='03.Muestra'!$D$8:$D$42,ROW('03.Muestra'!$B$8:$B$42)-MIN(ROW('03.Muestra'!$D$8:$D$42))+1,""),ROW()-398)),"")</f>
        <v/>
      </c>
      <c r="B408" s="85" t="str" cm="1">
        <f t="array" ref="B408">IFERROR(INDEX('03.Muestra'!$C$8:$C$42,SMALL(IF("Página Web"='03.Muestra'!$D$8:$D$42,ROW('03.Muestra'!$C$8:$C$42)-MIN(ROW('03.Muestra'!$D$8:$D$42))+1,""),ROW()-398)),"")</f>
        <v/>
      </c>
      <c r="C408" s="85" t="str" cm="1">
        <f t="array" ref="C408">IFERROR(INDEX('03.Muestra'!$F$8:$F$42,SMALL(IF("Página Web"='03.Muestra'!$D$8:$D$42,ROW('03.Muestra'!$F$8:$F$42)-MIN(ROW('03.Muestra'!$D$8:$D$42))+1,""),ROW()-398)),"")</f>
        <v/>
      </c>
      <c r="D408" s="99" t="str">
        <f t="shared" ref="D408:D433" si="21">IF(AND(B408&lt;&gt;"",C408&lt;&gt;""),"N/T","")</f>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https://www.comunidad.madrid/hospital/12octubre/</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https://www.comunidad.madrid/hospital/12octubre/ciudadanos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9</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https://www.comunidad.madrid/hospital/12octubre/profesionales</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Comunicación</v>
      </c>
      <c r="C440" s="85" t="str" cm="1">
        <f t="array" ref="C440">IFERROR(INDEX('03.Muestra'!$F$8:$F$42,SMALL(IF("Página Web"='03.Muestra'!$D$8:$D$42,ROW('03.Muestra'!$F$8:$F$42)-MIN(ROW('03.Muestra'!$D$8:$D$42))+1,""),ROW()-436)),"")</f>
        <v>https://www.comunidad.madrid/hospital/12octubre/comunicación</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https://www.comunidad.madrid/hospital/12octubre/nosotros</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Centros de especialidades</v>
      </c>
      <c r="C442" s="85" t="str" cm="1">
        <f t="array" ref="C442">IFERROR(INDEX('03.Muestra'!$F$8:$F$42,SMALL(IF("Página Web"='03.Muestra'!$D$8:$D$42,ROW('03.Muestra'!$F$8:$F$42)-MIN(ROW('03.Muestra'!$D$8:$D$42))+1,""),ROW()-436)),"")</f>
        <v>https://www.comunidad.madrid/hospital/12octubre/nosotros/centros-especialidades-perifericos</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Canal solidario</v>
      </c>
      <c r="C443" s="85" t="str" cm="1">
        <f t="array" ref="C443">IFERROR(INDEX('03.Muestra'!$F$8:$F$42,SMALL(IF("Página Web"='03.Muestra'!$D$8:$D$42,ROW('03.Muestra'!$F$8:$F$42)-MIN(ROW('03.Muestra'!$D$8:$D$42))+1,""),ROW()-436)),"")</f>
        <v>https://www.comunidad.madrid/hospital/12octubre/ciudadanos/canal-solidario</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Aniversario</v>
      </c>
      <c r="C444" s="85" t="str" cm="1">
        <f t="array" ref="C444">IFERROR(INDEX('03.Muestra'!$F$8:$F$42,SMALL(IF("Página Web"='03.Muestra'!$D$8:$D$42,ROW('03.Muestra'!$F$8:$F$42)-MIN(ROW('03.Muestra'!$D$8:$D$42))+1,""),ROW()-436)),"")</f>
        <v>https://www.comunidad.madrid/hospital/12octubre/50-aniversario</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Accesibilidad</v>
      </c>
      <c r="C445" s="85" t="str" cm="1">
        <f t="array" ref="C445">IFERROR(INDEX('03.Muestra'!$F$8:$F$42,SMALL(IF("Página Web"='03.Muestra'!$D$8:$D$42,ROW('03.Muestra'!$F$8:$F$42)-MIN(ROW('03.Muestra'!$D$8:$D$42))+1,""),ROW()-436)),"")</f>
        <v>https://www.comunidad.madrid/hospital/12octubre/declaracion-accesibilidad</v>
      </c>
      <c r="D445" s="99" t="s">
        <v>104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IFERROR(INDEX('03.Muestra'!$B$8:$B$42,SMALL(IF("Página Web"='03.Muestra'!$D$8:$D$42,ROW('03.Muestra'!$B$8:$B$42)-MIN(ROW('03.Muestra'!$D$8:$D$42))+1,""),ROW()-436)),"")</f>
        <v/>
      </c>
      <c r="B446" s="85" t="str" cm="1">
        <f t="array" ref="B446">IFERROR(INDEX('03.Muestra'!$C$8:$C$42,SMALL(IF("Página Web"='03.Muestra'!$D$8:$D$42,ROW('03.Muestra'!$C$8:$C$42)-MIN(ROW('03.Muestra'!$D$8:$D$42))+1,""),ROW()-436)),"")</f>
        <v/>
      </c>
      <c r="C446" s="85" t="str" cm="1">
        <f t="array" ref="C446">IFERROR(INDEX('03.Muestra'!$F$8:$F$42,SMALL(IF("Página Web"='03.Muestra'!$D$8:$D$42,ROW('03.Muestra'!$F$8:$F$42)-MIN(ROW('03.Muestra'!$D$8:$D$42))+1,""),ROW()-436)),"")</f>
        <v/>
      </c>
      <c r="D446" s="99" t="str">
        <f t="shared" ref="D446:D471" si="23">IF(AND(B446&lt;&gt;"",C446&lt;&gt;""),"N/T","")</f>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https://www.comunidad.madrid/hospital/12octubre/</v>
      </c>
      <c r="D475" s="99" t="s">
        <v>94</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https://www.comunidad.madrid/hospital/12octubre/ciudadanos</v>
      </c>
      <c r="D476" s="99" t="s">
        <v>94</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5</v>
      </c>
      <c r="J476" s="91">
        <f ca="1">COUNTIF($D475:INDIRECT("$D" &amp;  SUM(ROW()-1,'03.Muestra'!$D$45)-1),J475)</f>
        <v>4</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https://www.comunidad.madrid/hospital/12octubre/profesionales</v>
      </c>
      <c r="D477" s="99" t="s">
        <v>94</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Comunicación</v>
      </c>
      <c r="C478" s="85" t="str" cm="1">
        <f t="array" ref="C478">IFERROR(INDEX('03.Muestra'!$F$8:$F$42,SMALL(IF("Página Web"='03.Muestra'!$D$8:$D$42,ROW('03.Muestra'!$F$8:$F$42)-MIN(ROW('03.Muestra'!$D$8:$D$42))+1,""),ROW()-474)),"")</f>
        <v>https://www.comunidad.madrid/hospital/12octubre/comunicación</v>
      </c>
      <c r="D478" s="99" t="s">
        <v>94</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https://www.comunidad.madrid/hospital/12octubre/nosotros</v>
      </c>
      <c r="D479" s="99" t="s">
        <v>94</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Centros de especialidades</v>
      </c>
      <c r="C480" s="85" t="str" cm="1">
        <f t="array" ref="C480">IFERROR(INDEX('03.Muestra'!$F$8:$F$42,SMALL(IF("Página Web"='03.Muestra'!$D$8:$D$42,ROW('03.Muestra'!$F$8:$F$42)-MIN(ROW('03.Muestra'!$D$8:$D$42))+1,""),ROW()-474)),"")</f>
        <v>https://www.comunidad.madrid/hospital/12octubre/nosotros/centros-especialidades-perifericos</v>
      </c>
      <c r="D480" s="99" t="s">
        <v>92</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Canal solidario</v>
      </c>
      <c r="C481" s="85" t="str" cm="1">
        <f t="array" ref="C481">IFERROR(INDEX('03.Muestra'!$F$8:$F$42,SMALL(IF("Página Web"='03.Muestra'!$D$8:$D$42,ROW('03.Muestra'!$F$8:$F$42)-MIN(ROW('03.Muestra'!$D$8:$D$42))+1,""),ROW()-474)),"")</f>
        <v>https://www.comunidad.madrid/hospital/12octubre/ciudadanos/canal-solidario</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Aniversario</v>
      </c>
      <c r="C482" s="85" t="str" cm="1">
        <f t="array" ref="C482">IFERROR(INDEX('03.Muestra'!$F$8:$F$42,SMALL(IF("Página Web"='03.Muestra'!$D$8:$D$42,ROW('03.Muestra'!$F$8:$F$42)-MIN(ROW('03.Muestra'!$D$8:$D$42))+1,""),ROW()-474)),"")</f>
        <v>https://www.comunidad.madrid/hospital/12octubre/50-aniversario</v>
      </c>
      <c r="D482" s="99" t="s">
        <v>92</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Accesibilidad</v>
      </c>
      <c r="C483" s="85" t="str" cm="1">
        <f t="array" ref="C483">IFERROR(INDEX('03.Muestra'!$F$8:$F$42,SMALL(IF("Página Web"='03.Muestra'!$D$8:$D$42,ROW('03.Muestra'!$F$8:$F$42)-MIN(ROW('03.Muestra'!$D$8:$D$42))+1,""),ROW()-474)),"")</f>
        <v>https://www.comunidad.madrid/hospital/12octubre/declaracion-accesibilidad</v>
      </c>
      <c r="D483" s="99" t="s">
        <v>92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IFERROR(INDEX('03.Muestra'!$B$8:$B$42,SMALL(IF("Página Web"='03.Muestra'!$D$8:$D$42,ROW('03.Muestra'!$B$8:$B$42)-MIN(ROW('03.Muestra'!$D$8:$D$42))+1,""),ROW()-474)),"")</f>
        <v/>
      </c>
      <c r="B484" s="85" t="str" cm="1">
        <f t="array" ref="B484">IFERROR(INDEX('03.Muestra'!$C$8:$C$42,SMALL(IF("Página Web"='03.Muestra'!$D$8:$D$42,ROW('03.Muestra'!$C$8:$C$42)-MIN(ROW('03.Muestra'!$D$8:$D$42))+1,""),ROW()-474)),"")</f>
        <v/>
      </c>
      <c r="C484" s="85" t="str" cm="1">
        <f t="array" ref="C484">IFERROR(INDEX('03.Muestra'!$F$8:$F$42,SMALL(IF("Página Web"='03.Muestra'!$D$8:$D$42,ROW('03.Muestra'!$F$8:$F$42)-MIN(ROW('03.Muestra'!$D$8:$D$42))+1,""),ROW()-474)),"")</f>
        <v/>
      </c>
      <c r="D484" s="99" t="str">
        <f t="shared" ref="D484:D509" si="25">IF(AND(B484&lt;&gt;"",C484&lt;&gt;""),"N/T","")</f>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https://www.comunidad.madrid/hospital/12octubre/</v>
      </c>
      <c r="D513" s="99" t="s">
        <v>92</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https://www.comunidad.madrid/hospital/12octubre/ciudadanos</v>
      </c>
      <c r="D514" s="99" t="s">
        <v>92</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9</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https://www.comunidad.madrid/hospital/12octubre/profesionales</v>
      </c>
      <c r="D515" s="99" t="s">
        <v>92</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Comunicación</v>
      </c>
      <c r="C516" s="85" t="str" cm="1">
        <f t="array" ref="C516">IFERROR(INDEX('03.Muestra'!$F$8:$F$42,SMALL(IF("Página Web"='03.Muestra'!$D$8:$D$42,ROW('03.Muestra'!$F$8:$F$42)-MIN(ROW('03.Muestra'!$D$8:$D$42))+1,""),ROW()-512)),"")</f>
        <v>https://www.comunidad.madrid/hospital/12octubre/comunicación</v>
      </c>
      <c r="D516" s="99" t="s">
        <v>92</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https://www.comunidad.madrid/hospital/12octubre/nosotros</v>
      </c>
      <c r="D517" s="99" t="s">
        <v>92</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Centros de especialidades</v>
      </c>
      <c r="C518" s="85" t="str" cm="1">
        <f t="array" ref="C518">IFERROR(INDEX('03.Muestra'!$F$8:$F$42,SMALL(IF("Página Web"='03.Muestra'!$D$8:$D$42,ROW('03.Muestra'!$F$8:$F$42)-MIN(ROW('03.Muestra'!$D$8:$D$42))+1,""),ROW()-512)),"")</f>
        <v>https://www.comunidad.madrid/hospital/12octubre/nosotros/centros-especialidades-perifericos</v>
      </c>
      <c r="D518" s="99" t="s">
        <v>92</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Canal solidario</v>
      </c>
      <c r="C519" s="85" t="str" cm="1">
        <f t="array" ref="C519">IFERROR(INDEX('03.Muestra'!$F$8:$F$42,SMALL(IF("Página Web"='03.Muestra'!$D$8:$D$42,ROW('03.Muestra'!$F$8:$F$42)-MIN(ROW('03.Muestra'!$D$8:$D$42))+1,""),ROW()-512)),"")</f>
        <v>https://www.comunidad.madrid/hospital/12octubre/ciudadanos/canal-solidario</v>
      </c>
      <c r="D519" s="99" t="s">
        <v>92</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Aniversario</v>
      </c>
      <c r="C520" s="85" t="str" cm="1">
        <f t="array" ref="C520">IFERROR(INDEX('03.Muestra'!$F$8:$F$42,SMALL(IF("Página Web"='03.Muestra'!$D$8:$D$42,ROW('03.Muestra'!$F$8:$F$42)-MIN(ROW('03.Muestra'!$D$8:$D$42))+1,""),ROW()-512)),"")</f>
        <v>https://www.comunidad.madrid/hospital/12octubre/50-aniversario</v>
      </c>
      <c r="D520" s="99" t="s">
        <v>92</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Accesibilidad</v>
      </c>
      <c r="C521" s="85" t="str" cm="1">
        <f t="array" ref="C521">IFERROR(INDEX('03.Muestra'!$F$8:$F$42,SMALL(IF("Página Web"='03.Muestra'!$D$8:$D$42,ROW('03.Muestra'!$F$8:$F$42)-MIN(ROW('03.Muestra'!$D$8:$D$42))+1,""),ROW()-512)),"")</f>
        <v>https://www.comunidad.madrid/hospital/12octubre/declaracion-accesibilidad</v>
      </c>
      <c r="D521" s="99" t="s">
        <v>92</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IFERROR(INDEX('03.Muestra'!$B$8:$B$42,SMALL(IF("Página Web"='03.Muestra'!$D$8:$D$42,ROW('03.Muestra'!$B$8:$B$42)-MIN(ROW('03.Muestra'!$D$8:$D$42))+1,""),ROW()-512)),"")</f>
        <v/>
      </c>
      <c r="B522" s="85" t="str" cm="1">
        <f t="array" ref="B522">IFERROR(INDEX('03.Muestra'!$C$8:$C$42,SMALL(IF("Página Web"='03.Muestra'!$D$8:$D$42,ROW('03.Muestra'!$C$8:$C$42)-MIN(ROW('03.Muestra'!$D$8:$D$42))+1,""),ROW()-512)),"")</f>
        <v/>
      </c>
      <c r="C522" s="85" t="str" cm="1">
        <f t="array" ref="C522">IFERROR(INDEX('03.Muestra'!$F$8:$F$42,SMALL(IF("Página Web"='03.Muestra'!$D$8:$D$42,ROW('03.Muestra'!$F$8:$F$42)-MIN(ROW('03.Muestra'!$D$8:$D$42))+1,""),ROW()-512)),"")</f>
        <v/>
      </c>
      <c r="D522" s="99" t="str">
        <f t="shared" ref="D522:D547" si="27">IF(AND(B522&lt;&gt;"",C522&lt;&gt;""),"N/T","")</f>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https://www.comunidad.madrid/hospital/12octubre/</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https://www.comunidad.madrid/hospital/12octubre/ciudadanos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9</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https://www.comunidad.madrid/hospital/12octubre/profesionales</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Comunicación</v>
      </c>
      <c r="C554" s="85" t="str" cm="1">
        <f t="array" ref="C554">IFERROR(INDEX('03.Muestra'!$F$8:$F$42,SMALL(IF("Página Web"='03.Muestra'!$D$8:$D$42,ROW('03.Muestra'!$F$8:$F$42)-MIN(ROW('03.Muestra'!$D$8:$D$42))+1,""),ROW()-550)),"")</f>
        <v>https://www.comunidad.madrid/hospital/12octubre/comunicación</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https://www.comunidad.madrid/hospital/12octubre/nosotros</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Centros de especialidades</v>
      </c>
      <c r="C556" s="85" t="str" cm="1">
        <f t="array" ref="C556">IFERROR(INDEX('03.Muestra'!$F$8:$F$42,SMALL(IF("Página Web"='03.Muestra'!$D$8:$D$42,ROW('03.Muestra'!$F$8:$F$42)-MIN(ROW('03.Muestra'!$D$8:$D$42))+1,""),ROW()-550)),"")</f>
        <v>https://www.comunidad.madrid/hospital/12octubre/nosotros/centros-especialidades-perifericos</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Canal solidario</v>
      </c>
      <c r="C557" s="85" t="str" cm="1">
        <f t="array" ref="C557">IFERROR(INDEX('03.Muestra'!$F$8:$F$42,SMALL(IF("Página Web"='03.Muestra'!$D$8:$D$42,ROW('03.Muestra'!$F$8:$F$42)-MIN(ROW('03.Muestra'!$D$8:$D$42))+1,""),ROW()-550)),"")</f>
        <v>https://www.comunidad.madrid/hospital/12octubre/ciudadanos/canal-solidario</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Aniversario</v>
      </c>
      <c r="C558" s="85" t="str" cm="1">
        <f t="array" ref="C558">IFERROR(INDEX('03.Muestra'!$F$8:$F$42,SMALL(IF("Página Web"='03.Muestra'!$D$8:$D$42,ROW('03.Muestra'!$F$8:$F$42)-MIN(ROW('03.Muestra'!$D$8:$D$42))+1,""),ROW()-550)),"")</f>
        <v>https://www.comunidad.madrid/hospital/12octubre/50-aniversario</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Accesibilidad</v>
      </c>
      <c r="C559" s="85" t="str" cm="1">
        <f t="array" ref="C559">IFERROR(INDEX('03.Muestra'!$F$8:$F$42,SMALL(IF("Página Web"='03.Muestra'!$D$8:$D$42,ROW('03.Muestra'!$F$8:$F$42)-MIN(ROW('03.Muestra'!$D$8:$D$42))+1,""),ROW()-550)),"")</f>
        <v>https://www.comunidad.madrid/hospital/12octubre/declaracion-accesibilidad</v>
      </c>
      <c r="D559" s="99" t="s">
        <v>104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IFERROR(INDEX('03.Muestra'!$B$8:$B$42,SMALL(IF("Página Web"='03.Muestra'!$D$8:$D$42,ROW('03.Muestra'!$B$8:$B$42)-MIN(ROW('03.Muestra'!$D$8:$D$42))+1,""),ROW()-550)),"")</f>
        <v/>
      </c>
      <c r="B560" s="85" t="str" cm="1">
        <f t="array" ref="B560">IFERROR(INDEX('03.Muestra'!$C$8:$C$42,SMALL(IF("Página Web"='03.Muestra'!$D$8:$D$42,ROW('03.Muestra'!$C$8:$C$42)-MIN(ROW('03.Muestra'!$D$8:$D$42))+1,""),ROW()-550)),"")</f>
        <v/>
      </c>
      <c r="C560" s="85" t="str" cm="1">
        <f t="array" ref="C560">IFERROR(INDEX('03.Muestra'!$F$8:$F$42,SMALL(IF("Página Web"='03.Muestra'!$D$8:$D$42,ROW('03.Muestra'!$F$8:$F$42)-MIN(ROW('03.Muestra'!$D$8:$D$42))+1,""),ROW()-550)),"")</f>
        <v/>
      </c>
      <c r="D560" s="99" t="str">
        <f t="shared" ref="D560:D585" si="29">IF(AND(B560&lt;&gt;"",C560&lt;&gt;""),"N/T","")</f>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https://www.comunidad.madrid/hospital/12octubre/</v>
      </c>
      <c r="D589" s="99" t="s">
        <v>92</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https://www.comunidad.madrid/hospital/12octubre/ciudadanos</v>
      </c>
      <c r="D590" s="99" t="s">
        <v>92</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9</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https://www.comunidad.madrid/hospital/12octubre/profesionales</v>
      </c>
      <c r="D591" s="99" t="s">
        <v>92</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Comunicación</v>
      </c>
      <c r="C592" s="85" t="str" cm="1">
        <f t="array" ref="C592">IFERROR(INDEX('03.Muestra'!$F$8:$F$42,SMALL(IF("Página Web"='03.Muestra'!$D$8:$D$42,ROW('03.Muestra'!$F$8:$F$42)-MIN(ROW('03.Muestra'!$D$8:$D$42))+1,""),ROW()-588)),"")</f>
        <v>https://www.comunidad.madrid/hospital/12octubre/comunicación</v>
      </c>
      <c r="D592" s="99" t="s">
        <v>92</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https://www.comunidad.madrid/hospital/12octubre/nosotros</v>
      </c>
      <c r="D593" s="99" t="s">
        <v>92</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Centros de especialidades</v>
      </c>
      <c r="C594" s="85" t="str" cm="1">
        <f t="array" ref="C594">IFERROR(INDEX('03.Muestra'!$F$8:$F$42,SMALL(IF("Página Web"='03.Muestra'!$D$8:$D$42,ROW('03.Muestra'!$F$8:$F$42)-MIN(ROW('03.Muestra'!$D$8:$D$42))+1,""),ROW()-588)),"")</f>
        <v>https://www.comunidad.madrid/hospital/12octubre/nosotros/centros-especialidades-perifericos</v>
      </c>
      <c r="D594" s="99" t="s">
        <v>92</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Canal solidario</v>
      </c>
      <c r="C595" s="85" t="str" cm="1">
        <f t="array" ref="C595">IFERROR(INDEX('03.Muestra'!$F$8:$F$42,SMALL(IF("Página Web"='03.Muestra'!$D$8:$D$42,ROW('03.Muestra'!$F$8:$F$42)-MIN(ROW('03.Muestra'!$D$8:$D$42))+1,""),ROW()-588)),"")</f>
        <v>https://www.comunidad.madrid/hospital/12octubre/ciudadanos/canal-solidario</v>
      </c>
      <c r="D595" s="99" t="s">
        <v>92</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Aniversario</v>
      </c>
      <c r="C596" s="85" t="str" cm="1">
        <f t="array" ref="C596">IFERROR(INDEX('03.Muestra'!$F$8:$F$42,SMALL(IF("Página Web"='03.Muestra'!$D$8:$D$42,ROW('03.Muestra'!$F$8:$F$42)-MIN(ROW('03.Muestra'!$D$8:$D$42))+1,""),ROW()-588)),"")</f>
        <v>https://www.comunidad.madrid/hospital/12octubre/50-aniversario</v>
      </c>
      <c r="D596" s="99" t="s">
        <v>92</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Accesibilidad</v>
      </c>
      <c r="C597" s="85" t="str" cm="1">
        <f t="array" ref="C597">IFERROR(INDEX('03.Muestra'!$F$8:$F$42,SMALL(IF("Página Web"='03.Muestra'!$D$8:$D$42,ROW('03.Muestra'!$F$8:$F$42)-MIN(ROW('03.Muestra'!$D$8:$D$42))+1,""),ROW()-588)),"")</f>
        <v>https://www.comunidad.madrid/hospital/12octubre/declaracion-accesibilidad</v>
      </c>
      <c r="D597" s="99" t="s">
        <v>92</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IFERROR(INDEX('03.Muestra'!$B$8:$B$42,SMALL(IF("Página Web"='03.Muestra'!$D$8:$D$42,ROW('03.Muestra'!$B$8:$B$42)-MIN(ROW('03.Muestra'!$D$8:$D$42))+1,""),ROW()-588)),"")</f>
        <v/>
      </c>
      <c r="B598" s="85" t="str" cm="1">
        <f t="array" ref="B598">IFERROR(INDEX('03.Muestra'!$C$8:$C$42,SMALL(IF("Página Web"='03.Muestra'!$D$8:$D$42,ROW('03.Muestra'!$C$8:$C$42)-MIN(ROW('03.Muestra'!$D$8:$D$42))+1,""),ROW()-588)),"")</f>
        <v/>
      </c>
      <c r="C598" s="85" t="str" cm="1">
        <f t="array" ref="C598">IFERROR(INDEX('03.Muestra'!$F$8:$F$42,SMALL(IF("Página Web"='03.Muestra'!$D$8:$D$42,ROW('03.Muestra'!$F$8:$F$42)-MIN(ROW('03.Muestra'!$D$8:$D$42))+1,""),ROW()-588)),"")</f>
        <v/>
      </c>
      <c r="D598" s="99" t="str">
        <f t="shared" ref="D598:D623" si="31">IF(AND(B598&lt;&gt;"",C598&lt;&gt;""),"N/T","")</f>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https://www.comunidad.madrid/hospital/12octubre/</v>
      </c>
      <c r="D627" s="99" t="s">
        <v>94</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https://www.comunidad.madrid/hospital/12octubre/ciudadanos</v>
      </c>
      <c r="D628" s="99" t="s">
        <v>94</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5</v>
      </c>
      <c r="J628" s="91">
        <f ca="1">COUNTIF($D627:INDIRECT("$D" &amp;  SUM(ROW()-1,'03.Muestra'!$D$45)-1),J627)</f>
        <v>4</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https://www.comunidad.madrid/hospital/12octubre/profesionales</v>
      </c>
      <c r="D629" s="99" t="s">
        <v>94</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Comunicación</v>
      </c>
      <c r="C630" s="85" t="str" cm="1">
        <f t="array" ref="C630">IFERROR(INDEX('03.Muestra'!$F$8:$F$42,SMALL(IF("Página Web"='03.Muestra'!$D$8:$D$42,ROW('03.Muestra'!$F$8:$F$42)-MIN(ROW('03.Muestra'!$D$8:$D$42))+1,""),ROW()-626)),"")</f>
        <v>https://www.comunidad.madrid/hospital/12octubre/comunicación</v>
      </c>
      <c r="D630" s="99" t="s">
        <v>94</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https://www.comunidad.madrid/hospital/12octubre/nosotros</v>
      </c>
      <c r="D631" s="99" t="s">
        <v>94</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Centros de especialidades</v>
      </c>
      <c r="C632" s="85" t="str" cm="1">
        <f t="array" ref="C632">IFERROR(INDEX('03.Muestra'!$F$8:$F$42,SMALL(IF("Página Web"='03.Muestra'!$D$8:$D$42,ROW('03.Muestra'!$F$8:$F$42)-MIN(ROW('03.Muestra'!$D$8:$D$42))+1,""),ROW()-626)),"")</f>
        <v>https://www.comunidad.madrid/hospital/12octubre/nosotros/centros-especialidades-perifericos</v>
      </c>
      <c r="D632" s="99" t="s">
        <v>92</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Canal solidario</v>
      </c>
      <c r="C633" s="85" t="str" cm="1">
        <f t="array" ref="C633">IFERROR(INDEX('03.Muestra'!$F$8:$F$42,SMALL(IF("Página Web"='03.Muestra'!$D$8:$D$42,ROW('03.Muestra'!$F$8:$F$42)-MIN(ROW('03.Muestra'!$D$8:$D$42))+1,""),ROW()-626)),"")</f>
        <v>https://www.comunidad.madrid/hospital/12octubre/ciudadanos/canal-solidario</v>
      </c>
      <c r="D633" s="99" t="s">
        <v>92</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Aniversario</v>
      </c>
      <c r="C634" s="85" t="str" cm="1">
        <f t="array" ref="C634">IFERROR(INDEX('03.Muestra'!$F$8:$F$42,SMALL(IF("Página Web"='03.Muestra'!$D$8:$D$42,ROW('03.Muestra'!$F$8:$F$42)-MIN(ROW('03.Muestra'!$D$8:$D$42))+1,""),ROW()-626)),"")</f>
        <v>https://www.comunidad.madrid/hospital/12octubre/50-aniversario</v>
      </c>
      <c r="D634" s="99" t="s">
        <v>92</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Accesibilidad</v>
      </c>
      <c r="C635" s="85" t="str" cm="1">
        <f t="array" ref="C635">IFERROR(INDEX('03.Muestra'!$F$8:$F$42,SMALL(IF("Página Web"='03.Muestra'!$D$8:$D$42,ROW('03.Muestra'!$F$8:$F$42)-MIN(ROW('03.Muestra'!$D$8:$D$42))+1,""),ROW()-626)),"")</f>
        <v>https://www.comunidad.madrid/hospital/12octubre/declaracion-accesibilidad</v>
      </c>
      <c r="D635" s="99" t="s">
        <v>92</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t="str" cm="1">
        <f t="array" ref="A636">IFERROR(INDEX('03.Muestra'!$B$8:$B$42,SMALL(IF("Página Web"='03.Muestra'!$D$8:$D$42,ROW('03.Muestra'!$B$8:$B$42)-MIN(ROW('03.Muestra'!$D$8:$D$42))+1,""),ROW()-626)),"")</f>
        <v/>
      </c>
      <c r="B636" s="85" t="str" cm="1">
        <f t="array" ref="B636">IFERROR(INDEX('03.Muestra'!$C$8:$C$42,SMALL(IF("Página Web"='03.Muestra'!$D$8:$D$42,ROW('03.Muestra'!$C$8:$C$42)-MIN(ROW('03.Muestra'!$D$8:$D$42))+1,""),ROW()-626)),"")</f>
        <v/>
      </c>
      <c r="C636" s="85" t="str" cm="1">
        <f t="array" ref="C636">IFERROR(INDEX('03.Muestra'!$F$8:$F$42,SMALL(IF("Página Web"='03.Muestra'!$D$8:$D$42,ROW('03.Muestra'!$F$8:$F$42)-MIN(ROW('03.Muestra'!$D$8:$D$42))+1,""),ROW()-626)),"")</f>
        <v/>
      </c>
      <c r="D636" s="99" t="str">
        <f t="shared" ref="D636:D661" si="33">IF(AND(B636&lt;&gt;"",C636&lt;&gt;""),"N/T","")</f>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https://www.comunidad.madrid/hospital/12octubre/</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https://www.comunidad.madrid/hospital/12octubre/ciudadanos</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9</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https://www.comunidad.madrid/hospital/12octubre/profesionales</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Comunicación</v>
      </c>
      <c r="C668" s="85" t="str" cm="1">
        <f t="array" ref="C668">IFERROR(INDEX('03.Muestra'!$F$8:$F$42,SMALL(IF("Página Web"='03.Muestra'!$D$8:$D$42,ROW('03.Muestra'!$F$8:$F$42)-MIN(ROW('03.Muestra'!$D$8:$D$42))+1,""),ROW()-664)),"")</f>
        <v>https://www.comunidad.madrid/hospital/12octubre/comunicación</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https://www.comunidad.madrid/hospital/12octubre/nosotros</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Centros de especialidades</v>
      </c>
      <c r="C670" s="85" t="str" cm="1">
        <f t="array" ref="C670">IFERROR(INDEX('03.Muestra'!$F$8:$F$42,SMALL(IF("Página Web"='03.Muestra'!$D$8:$D$42,ROW('03.Muestra'!$F$8:$F$42)-MIN(ROW('03.Muestra'!$D$8:$D$42))+1,""),ROW()-664)),"")</f>
        <v>https://www.comunidad.madrid/hospital/12octubre/nosotros/centros-especialidades-perifericos</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Canal solidario</v>
      </c>
      <c r="C671" s="85" t="str" cm="1">
        <f t="array" ref="C671">IFERROR(INDEX('03.Muestra'!$F$8:$F$42,SMALL(IF("Página Web"='03.Muestra'!$D$8:$D$42,ROW('03.Muestra'!$F$8:$F$42)-MIN(ROW('03.Muestra'!$D$8:$D$42))+1,""),ROW()-664)),"")</f>
        <v>https://www.comunidad.madrid/hospital/12octubre/ciudadanos/canal-solidario</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Aniversario</v>
      </c>
      <c r="C672" s="85" t="str" cm="1">
        <f t="array" ref="C672">IFERROR(INDEX('03.Muestra'!$F$8:$F$42,SMALL(IF("Página Web"='03.Muestra'!$D$8:$D$42,ROW('03.Muestra'!$F$8:$F$42)-MIN(ROW('03.Muestra'!$D$8:$D$42))+1,""),ROW()-664)),"")</f>
        <v>https://www.comunidad.madrid/hospital/12octubre/50-aniversario</v>
      </c>
      <c r="D672" s="99" t="s">
        <v>92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Accesibilidad</v>
      </c>
      <c r="C673" s="85" t="str" cm="1">
        <f t="array" ref="C673">IFERROR(INDEX('03.Muestra'!$F$8:$F$42,SMALL(IF("Página Web"='03.Muestra'!$D$8:$D$42,ROW('03.Muestra'!$F$8:$F$42)-MIN(ROW('03.Muestra'!$D$8:$D$42))+1,""),ROW()-664)),"")</f>
        <v>https://www.comunidad.madrid/hospital/12octubre/declaracion-accesibilidad</v>
      </c>
      <c r="D673" s="99" t="s">
        <v>92</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t="str" cm="1">
        <f t="array" ref="A674">IFERROR(INDEX('03.Muestra'!$B$8:$B$42,SMALL(IF("Página Web"='03.Muestra'!$D$8:$D$42,ROW('03.Muestra'!$B$8:$B$42)-MIN(ROW('03.Muestra'!$D$8:$D$42))+1,""),ROW()-664)),"")</f>
        <v/>
      </c>
      <c r="B674" s="85" t="str" cm="1">
        <f t="array" ref="B674">IFERROR(INDEX('03.Muestra'!$C$8:$C$42,SMALL(IF("Página Web"='03.Muestra'!$D$8:$D$42,ROW('03.Muestra'!$C$8:$C$42)-MIN(ROW('03.Muestra'!$D$8:$D$42))+1,""),ROW()-664)),"")</f>
        <v/>
      </c>
      <c r="C674" s="85" t="str" cm="1">
        <f t="array" ref="C674">IFERROR(INDEX('03.Muestra'!$F$8:$F$42,SMALL(IF("Página Web"='03.Muestra'!$D$8:$D$42,ROW('03.Muestra'!$F$8:$F$42)-MIN(ROW('03.Muestra'!$D$8:$D$42))+1,""),ROW()-664)),"")</f>
        <v/>
      </c>
      <c r="D674" s="99" t="str">
        <f t="shared" ref="D674:D699" si="35">IF(AND(B674&lt;&gt;"",C674&lt;&gt;""),"N/T","")</f>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https://www.comunidad.madrid/hospital/12octubre/</v>
      </c>
      <c r="D703" s="99" t="s">
        <v>104</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https://www.comunidad.madrid/hospital/12octubre/ciudadanos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9</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https://www.comunidad.madrid/hospital/12octubre/profesionales</v>
      </c>
      <c r="D705" s="99" t="s">
        <v>104</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Comunicación</v>
      </c>
      <c r="C706" s="85" t="str" cm="1">
        <f t="array" ref="C706">IFERROR(INDEX('03.Muestra'!$F$8:$F$42,SMALL(IF("Página Web"='03.Muestra'!$D$8:$D$42,ROW('03.Muestra'!$F$8:$F$42)-MIN(ROW('03.Muestra'!$D$8:$D$42))+1,""),ROW()-702)),"")</f>
        <v>https://www.comunidad.madrid/hospital/12octubre/comunicación</v>
      </c>
      <c r="D706" s="99" t="s">
        <v>104</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https://www.comunidad.madrid/hospital/12octubre/nosotros</v>
      </c>
      <c r="D707" s="99" t="s">
        <v>104</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Centros de especialidades</v>
      </c>
      <c r="C708" s="85" t="str" cm="1">
        <f t="array" ref="C708">IFERROR(INDEX('03.Muestra'!$F$8:$F$42,SMALL(IF("Página Web"='03.Muestra'!$D$8:$D$42,ROW('03.Muestra'!$F$8:$F$42)-MIN(ROW('03.Muestra'!$D$8:$D$42))+1,""),ROW()-702)),"")</f>
        <v>https://www.comunidad.madrid/hospital/12octubre/nosotros/centros-especialidades-perifericos</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Canal solidario</v>
      </c>
      <c r="C709" s="85" t="str" cm="1">
        <f t="array" ref="C709">IFERROR(INDEX('03.Muestra'!$F$8:$F$42,SMALL(IF("Página Web"='03.Muestra'!$D$8:$D$42,ROW('03.Muestra'!$F$8:$F$42)-MIN(ROW('03.Muestra'!$D$8:$D$42))+1,""),ROW()-702)),"")</f>
        <v>https://www.comunidad.madrid/hospital/12octubre/ciudadanos/canal-solidario</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Aniversario</v>
      </c>
      <c r="C710" s="85" t="str" cm="1">
        <f t="array" ref="C710">IFERROR(INDEX('03.Muestra'!$F$8:$F$42,SMALL(IF("Página Web"='03.Muestra'!$D$8:$D$42,ROW('03.Muestra'!$F$8:$F$42)-MIN(ROW('03.Muestra'!$D$8:$D$42))+1,""),ROW()-702)),"")</f>
        <v>https://www.comunidad.madrid/hospital/12octubre/50-aniversario</v>
      </c>
      <c r="D710" s="99" t="s">
        <v>104</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Accesibilidad</v>
      </c>
      <c r="C711" s="85" t="str" cm="1">
        <f t="array" ref="C711">IFERROR(INDEX('03.Muestra'!$F$8:$F$42,SMALL(IF("Página Web"='03.Muestra'!$D$8:$D$42,ROW('03.Muestra'!$F$8:$F$42)-MIN(ROW('03.Muestra'!$D$8:$D$42))+1,""),ROW()-702)),"")</f>
        <v>https://www.comunidad.madrid/hospital/12octubre/declaracion-accesibilidad</v>
      </c>
      <c r="D711" s="99" t="s">
        <v>104</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t="str" cm="1">
        <f t="array" ref="A712">IFERROR(INDEX('03.Muestra'!$B$8:$B$42,SMALL(IF("Página Web"='03.Muestra'!$D$8:$D$42,ROW('03.Muestra'!$B$8:$B$42)-MIN(ROW('03.Muestra'!$D$8:$D$42))+1,""),ROW()-702)),"")</f>
        <v/>
      </c>
      <c r="B712" s="85" t="str" cm="1">
        <f t="array" ref="B712">IFERROR(INDEX('03.Muestra'!$C$8:$C$42,SMALL(IF("Página Web"='03.Muestra'!$D$8:$D$42,ROW('03.Muestra'!$C$8:$C$42)-MIN(ROW('03.Muestra'!$D$8:$D$42))+1,""),ROW()-702)),"")</f>
        <v/>
      </c>
      <c r="C712" s="85" t="str" cm="1">
        <f t="array" ref="C712">IFERROR(INDEX('03.Muestra'!$F$8:$F$42,SMALL(IF("Página Web"='03.Muestra'!$D$8:$D$42,ROW('03.Muestra'!$F$8:$F$42)-MIN(ROW('03.Muestra'!$D$8:$D$42))+1,""),ROW()-702)),"")</f>
        <v/>
      </c>
      <c r="D712" s="99" t="str">
        <f t="shared" ref="D712:D737" si="37">IF(AND(B712&lt;&gt;"",C712&lt;&gt;""),"N/T","")</f>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Home</v>
      </c>
      <c r="C741" s="85" t="str" cm="1">
        <f t="array" ref="C741">IFERROR(INDEX('03.Muestra'!$F$8:$F$42,SMALL(IF("Página Web"='03.Muestra'!$D$8:$D$42,ROW('03.Muestra'!$F$8:$F$42)-MIN(ROW('03.Muestra'!$D$8:$D$42))+1,""),ROW()-740)),"")</f>
        <v>https://www.comunidad.madrid/hospital/12octubre/</v>
      </c>
      <c r="D741" s="99" t="s">
        <v>92</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Ciudadanos</v>
      </c>
      <c r="C742" s="85" t="str" cm="1">
        <f t="array" ref="C742">IFERROR(INDEX('03.Muestra'!$F$8:$F$42,SMALL(IF("Página Web"='03.Muestra'!$D$8:$D$42,ROW('03.Muestra'!$F$8:$F$42)-MIN(ROW('03.Muestra'!$D$8:$D$42))+1,""),ROW()-740)),"")</f>
        <v>https://www.comunidad.madrid/hospital/12octubre/ciudadanos</v>
      </c>
      <c r="D742" s="99" t="s">
        <v>92</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1</v>
      </c>
      <c r="J742" s="91">
        <f ca="1">COUNTIF($D741:INDIRECT("$D" &amp;  SUM(ROW()-1,'03.Muestra'!$D$45)-1),J741)</f>
        <v>8</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Profesionales</v>
      </c>
      <c r="C743" s="85" t="str" cm="1">
        <f t="array" ref="C743">IFERROR(INDEX('03.Muestra'!$F$8:$F$42,SMALL(IF("Página Web"='03.Muestra'!$D$8:$D$42,ROW('03.Muestra'!$F$8:$F$42)-MIN(ROW('03.Muestra'!$D$8:$D$42))+1,""),ROW()-740)),"")</f>
        <v>https://www.comunidad.madrid/hospital/12octubre/profesionales</v>
      </c>
      <c r="D743" s="99" t="s">
        <v>92</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Comunicación</v>
      </c>
      <c r="C744" s="85" t="str" cm="1">
        <f t="array" ref="C744">IFERROR(INDEX('03.Muestra'!$F$8:$F$42,SMALL(IF("Página Web"='03.Muestra'!$D$8:$D$42,ROW('03.Muestra'!$F$8:$F$42)-MIN(ROW('03.Muestra'!$D$8:$D$42))+1,""),ROW()-740)),"")</f>
        <v>https://www.comunidad.madrid/hospital/12octubre/comunicación</v>
      </c>
      <c r="D744" s="99" t="s">
        <v>92</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Nosotros</v>
      </c>
      <c r="C745" s="85" t="str" cm="1">
        <f t="array" ref="C745">IFERROR(INDEX('03.Muestra'!$F$8:$F$42,SMALL(IF("Página Web"='03.Muestra'!$D$8:$D$42,ROW('03.Muestra'!$F$8:$F$42)-MIN(ROW('03.Muestra'!$D$8:$D$42))+1,""),ROW()-740)),"")</f>
        <v>https://www.comunidad.madrid/hospital/12octubre/nosotros</v>
      </c>
      <c r="D745" s="99" t="s">
        <v>94</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Centros de especialidades</v>
      </c>
      <c r="C746" s="85" t="str" cm="1">
        <f t="array" ref="C746">IFERROR(INDEX('03.Muestra'!$F$8:$F$42,SMALL(IF("Página Web"='03.Muestra'!$D$8:$D$42,ROW('03.Muestra'!$F$8:$F$42)-MIN(ROW('03.Muestra'!$D$8:$D$42))+1,""),ROW()-740)),"")</f>
        <v>https://www.comunidad.madrid/hospital/12octubre/nosotros/centros-especialidades-perifericos</v>
      </c>
      <c r="D746" s="99" t="s">
        <v>92</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Canal solidario</v>
      </c>
      <c r="C747" s="85" t="str" cm="1">
        <f t="array" ref="C747">IFERROR(INDEX('03.Muestra'!$F$8:$F$42,SMALL(IF("Página Web"='03.Muestra'!$D$8:$D$42,ROW('03.Muestra'!$F$8:$F$42)-MIN(ROW('03.Muestra'!$D$8:$D$42))+1,""),ROW()-740)),"")</f>
        <v>https://www.comunidad.madrid/hospital/12octubre/ciudadanos/canal-solidario</v>
      </c>
      <c r="D747" s="99" t="s">
        <v>92</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Aniversario</v>
      </c>
      <c r="C748" s="85" t="str" cm="1">
        <f t="array" ref="C748">IFERROR(INDEX('03.Muestra'!$F$8:$F$42,SMALL(IF("Página Web"='03.Muestra'!$D$8:$D$42,ROW('03.Muestra'!$F$8:$F$42)-MIN(ROW('03.Muestra'!$D$8:$D$42))+1,""),ROW()-740)),"")</f>
        <v>https://www.comunidad.madrid/hospital/12octubre/50-aniversario</v>
      </c>
      <c r="D748" s="99" t="s">
        <v>92</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Accesibilidad</v>
      </c>
      <c r="C749" s="85" t="str" cm="1">
        <f t="array" ref="C749">IFERROR(INDEX('03.Muestra'!$F$8:$F$42,SMALL(IF("Página Web"='03.Muestra'!$D$8:$D$42,ROW('03.Muestra'!$F$8:$F$42)-MIN(ROW('03.Muestra'!$D$8:$D$42))+1,""),ROW()-740)),"")</f>
        <v>https://www.comunidad.madrid/hospital/12octubre/declaracion-accesibilidad</v>
      </c>
      <c r="D749" s="99" t="s">
        <v>92</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IFERROR(INDEX('03.Muestra'!$B$8:$B$42,SMALL(IF("Página Web"='03.Muestra'!$D$8:$D$42,ROW('03.Muestra'!$B$8:$B$42)-MIN(ROW('03.Muestra'!$D$8:$D$42))+1,""),ROW()-740)),"")</f>
        <v/>
      </c>
      <c r="B750" s="85" t="str" cm="1">
        <f t="array" ref="B750">IFERROR(INDEX('03.Muestra'!$C$8:$C$42,SMALL(IF("Página Web"='03.Muestra'!$D$8:$D$42,ROW('03.Muestra'!$C$8:$C$42)-MIN(ROW('03.Muestra'!$D$8:$D$42))+1,""),ROW()-740)),"")</f>
        <v/>
      </c>
      <c r="C750" s="85" t="str" cm="1">
        <f t="array" ref="C750">IFERROR(INDEX('03.Muestra'!$F$8:$F$42,SMALL(IF("Página Web"='03.Muestra'!$D$8:$D$42,ROW('03.Muestra'!$F$8:$F$42)-MIN(ROW('03.Muestra'!$D$8:$D$42))+1,""),ROW()-740)),"")</f>
        <v/>
      </c>
      <c r="D750" s="99" t="str">
        <f t="shared" ref="D750:D775" si="39">IF(AND(B750&lt;&gt;"",C750&lt;&gt;""),"N/T","")</f>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IFERROR(INDEX('03.Muestra'!$B$8:$B$42,SMALL(IF("Página Web"='03.Muestra'!$D$8:$D$42,ROW('03.Muestra'!$B$8:$B$42)-MIN(ROW('03.Muestra'!$D$8:$D$42))+1,""),ROW()-740)),"")</f>
        <v/>
      </c>
      <c r="B751" s="85" t="str" cm="1">
        <f t="array" ref="B751">IFERROR(INDEX('03.Muestra'!$C$8:$C$42,SMALL(IF("Página Web"='03.Muestra'!$D$8:$D$42,ROW('03.Muestra'!$C$8:$C$42)-MIN(ROW('03.Muestra'!$D$8:$D$42))+1,""),ROW()-740)),"")</f>
        <v/>
      </c>
      <c r="C751" s="85" t="str" cm="1">
        <f t="array" ref="C751">IFERROR(INDEX('03.Muestra'!$F$8:$F$42,SMALL(IF("Página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Home</v>
      </c>
      <c r="C779" s="85" t="str" cm="1">
        <f t="array" ref="C779">IFERROR(INDEX('03.Muestra'!$F$8:$F$42,SMALL(IF("Página Web"='03.Muestra'!$D$8:$D$42,ROW('03.Muestra'!$F$8:$F$42)-MIN(ROW('03.Muestra'!$D$8:$D$42))+1,""),ROW()-778)),"")</f>
        <v>https://www.comunidad.madrid/hospital/12octubre/</v>
      </c>
      <c r="D779" s="99" t="s">
        <v>92</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Ciudadanos</v>
      </c>
      <c r="C780" s="85" t="str" cm="1">
        <f t="array" ref="C780">IFERROR(INDEX('03.Muestra'!$F$8:$F$42,SMALL(IF("Página Web"='03.Muestra'!$D$8:$D$42,ROW('03.Muestra'!$F$8:$F$42)-MIN(ROW('03.Muestra'!$D$8:$D$42))+1,""),ROW()-778)),"")</f>
        <v>https://www.comunidad.madrid/hospital/12octubre/ciudadanos</v>
      </c>
      <c r="D780" s="99" t="s">
        <v>92</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9</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Profesionales</v>
      </c>
      <c r="C781" s="85" t="str" cm="1">
        <f t="array" ref="C781">IFERROR(INDEX('03.Muestra'!$F$8:$F$42,SMALL(IF("Página Web"='03.Muestra'!$D$8:$D$42,ROW('03.Muestra'!$F$8:$F$42)-MIN(ROW('03.Muestra'!$D$8:$D$42))+1,""),ROW()-778)),"")</f>
        <v>https://www.comunidad.madrid/hospital/12octubre/profesionales</v>
      </c>
      <c r="D781" s="99" t="s">
        <v>92</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Comunicación</v>
      </c>
      <c r="C782" s="85" t="str" cm="1">
        <f t="array" ref="C782">IFERROR(INDEX('03.Muestra'!$F$8:$F$42,SMALL(IF("Página Web"='03.Muestra'!$D$8:$D$42,ROW('03.Muestra'!$F$8:$F$42)-MIN(ROW('03.Muestra'!$D$8:$D$42))+1,""),ROW()-778)),"")</f>
        <v>https://www.comunidad.madrid/hospital/12octubre/comunicación</v>
      </c>
      <c r="D782" s="99" t="s">
        <v>92</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Nosotros</v>
      </c>
      <c r="C783" s="85" t="str" cm="1">
        <f t="array" ref="C783">IFERROR(INDEX('03.Muestra'!$F$8:$F$42,SMALL(IF("Página Web"='03.Muestra'!$D$8:$D$42,ROW('03.Muestra'!$F$8:$F$42)-MIN(ROW('03.Muestra'!$D$8:$D$42))+1,""),ROW()-778)),"")</f>
        <v>https://www.comunidad.madrid/hospital/12octubre/nosotros</v>
      </c>
      <c r="D783" s="99" t="s">
        <v>92</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Centros de especialidades</v>
      </c>
      <c r="C784" s="85" t="str" cm="1">
        <f t="array" ref="C784">IFERROR(INDEX('03.Muestra'!$F$8:$F$42,SMALL(IF("Página Web"='03.Muestra'!$D$8:$D$42,ROW('03.Muestra'!$F$8:$F$42)-MIN(ROW('03.Muestra'!$D$8:$D$42))+1,""),ROW()-778)),"")</f>
        <v>https://www.comunidad.madrid/hospital/12octubre/nosotros/centros-especialidades-perifericos</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Canal solidario</v>
      </c>
      <c r="C785" s="85" t="str" cm="1">
        <f t="array" ref="C785">IFERROR(INDEX('03.Muestra'!$F$8:$F$42,SMALL(IF("Página Web"='03.Muestra'!$D$8:$D$42,ROW('03.Muestra'!$F$8:$F$42)-MIN(ROW('03.Muestra'!$D$8:$D$42))+1,""),ROW()-778)),"")</f>
        <v>https://www.comunidad.madrid/hospital/12octubre/ciudadanos/canal-solidario</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Aniversario</v>
      </c>
      <c r="C786" s="85" t="str" cm="1">
        <f t="array" ref="C786">IFERROR(INDEX('03.Muestra'!$F$8:$F$42,SMALL(IF("Página Web"='03.Muestra'!$D$8:$D$42,ROW('03.Muestra'!$F$8:$F$42)-MIN(ROW('03.Muestra'!$D$8:$D$42))+1,""),ROW()-778)),"")</f>
        <v>https://www.comunidad.madrid/hospital/12octubre/50-aniversario</v>
      </c>
      <c r="D786" s="99" t="s">
        <v>92</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Accesibilidad</v>
      </c>
      <c r="C787" s="85" t="str" cm="1">
        <f t="array" ref="C787">IFERROR(INDEX('03.Muestra'!$F$8:$F$42,SMALL(IF("Página Web"='03.Muestra'!$D$8:$D$42,ROW('03.Muestra'!$F$8:$F$42)-MIN(ROW('03.Muestra'!$D$8:$D$42))+1,""),ROW()-778)),"")</f>
        <v>https://www.comunidad.madrid/hospital/12octubre/declaracion-accesibilidad</v>
      </c>
      <c r="D787" s="99" t="s">
        <v>92</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t="str" cm="1">
        <f t="array" ref="A788">IFERROR(INDEX('03.Muestra'!$B$8:$B$42,SMALL(IF("Página Web"='03.Muestra'!$D$8:$D$42,ROW('03.Muestra'!$B$8:$B$42)-MIN(ROW('03.Muestra'!$D$8:$D$42))+1,""),ROW()-778)),"")</f>
        <v/>
      </c>
      <c r="B788" s="85" t="str" cm="1">
        <f t="array" ref="B788">IFERROR(INDEX('03.Muestra'!$C$8:$C$42,SMALL(IF("Página Web"='03.Muestra'!$D$8:$D$42,ROW('03.Muestra'!$C$8:$C$42)-MIN(ROW('03.Muestra'!$D$8:$D$42))+1,""),ROW()-778)),"")</f>
        <v/>
      </c>
      <c r="C788" s="85" t="str" cm="1">
        <f t="array" ref="C788">IFERROR(INDEX('03.Muestra'!$F$8:$F$42,SMALL(IF("Página Web"='03.Muestra'!$D$8:$D$42,ROW('03.Muestra'!$F$8:$F$42)-MIN(ROW('03.Muestra'!$D$8:$D$42))+1,""),ROW()-778)),"")</f>
        <v/>
      </c>
      <c r="D788" s="99" t="str">
        <f t="shared" ref="D788:D813" si="41">IF(AND(B788&lt;&gt;"",C788&lt;&gt;""),"N/T","")</f>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t="str" cm="1">
        <f t="array" ref="A789">IFERROR(INDEX('03.Muestra'!$B$8:$B$42,SMALL(IF("Página Web"='03.Muestra'!$D$8:$D$42,ROW('03.Muestra'!$B$8:$B$42)-MIN(ROW('03.Muestra'!$D$8:$D$42))+1,""),ROW()-778)),"")</f>
        <v/>
      </c>
      <c r="B789" s="85" t="str" cm="1">
        <f t="array" ref="B789">IFERROR(INDEX('03.Muestra'!$C$8:$C$42,SMALL(IF("Página Web"='03.Muestra'!$D$8:$D$42,ROW('03.Muestra'!$C$8:$C$42)-MIN(ROW('03.Muestra'!$D$8:$D$42))+1,""),ROW()-778)),"")</f>
        <v/>
      </c>
      <c r="C789" s="85" t="str" cm="1">
        <f t="array" ref="C789">IFERROR(INDEX('03.Muestra'!$F$8:$F$42,SMALL(IF("Página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Home</v>
      </c>
      <c r="C817" s="85" t="str" cm="1">
        <f t="array" ref="C817">IFERROR(INDEX('03.Muestra'!$F$8:$F$42,SMALL(IF("Página Web"='03.Muestra'!$D$8:$D$42,ROW('03.Muestra'!$F$8:$F$42)-MIN(ROW('03.Muestra'!$D$8:$D$42))+1,""),ROW()-816)),"")</f>
        <v>https://www.comunidad.madrid/hospital/12octubre/</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Ciudadanos</v>
      </c>
      <c r="C818" s="85" t="str" cm="1">
        <f t="array" ref="C818">IFERROR(INDEX('03.Muestra'!$F$8:$F$42,SMALL(IF("Página Web"='03.Muestra'!$D$8:$D$42,ROW('03.Muestra'!$F$8:$F$42)-MIN(ROW('03.Muestra'!$D$8:$D$42))+1,""),ROW()-816)),"")</f>
        <v>https://www.comunidad.madrid/hospital/12octubre/ciudadanos</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9</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Profesionales</v>
      </c>
      <c r="C819" s="85" t="str" cm="1">
        <f t="array" ref="C819">IFERROR(INDEX('03.Muestra'!$F$8:$F$42,SMALL(IF("Página Web"='03.Muestra'!$D$8:$D$42,ROW('03.Muestra'!$F$8:$F$42)-MIN(ROW('03.Muestra'!$D$8:$D$42))+1,""),ROW()-816)),"")</f>
        <v>https://www.comunidad.madrid/hospital/12octubre/profesionales</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Comunicación</v>
      </c>
      <c r="C820" s="85" t="str" cm="1">
        <f t="array" ref="C820">IFERROR(INDEX('03.Muestra'!$F$8:$F$42,SMALL(IF("Página Web"='03.Muestra'!$D$8:$D$42,ROW('03.Muestra'!$F$8:$F$42)-MIN(ROW('03.Muestra'!$D$8:$D$42))+1,""),ROW()-816)),"")</f>
        <v>https://www.comunidad.madrid/hospital/12octubre/comunicación</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Nosotros</v>
      </c>
      <c r="C821" s="85" t="str" cm="1">
        <f t="array" ref="C821">IFERROR(INDEX('03.Muestra'!$F$8:$F$42,SMALL(IF("Página Web"='03.Muestra'!$D$8:$D$42,ROW('03.Muestra'!$F$8:$F$42)-MIN(ROW('03.Muestra'!$D$8:$D$42))+1,""),ROW()-816)),"")</f>
        <v>https://www.comunidad.madrid/hospital/12octubre/nosotros</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Centros de especialidades</v>
      </c>
      <c r="C822" s="85" t="str" cm="1">
        <f t="array" ref="C822">IFERROR(INDEX('03.Muestra'!$F$8:$F$42,SMALL(IF("Página Web"='03.Muestra'!$D$8:$D$42,ROW('03.Muestra'!$F$8:$F$42)-MIN(ROW('03.Muestra'!$D$8:$D$42))+1,""),ROW()-816)),"")</f>
        <v>https://www.comunidad.madrid/hospital/12octubre/nosotros/centros-especialidades-perifericos</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Canal solidario</v>
      </c>
      <c r="C823" s="85" t="str" cm="1">
        <f t="array" ref="C823">IFERROR(INDEX('03.Muestra'!$F$8:$F$42,SMALL(IF("Página Web"='03.Muestra'!$D$8:$D$42,ROW('03.Muestra'!$F$8:$F$42)-MIN(ROW('03.Muestra'!$D$8:$D$42))+1,""),ROW()-816)),"")</f>
        <v>https://www.comunidad.madrid/hospital/12octubre/ciudadanos/canal-solidario</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Aniversario</v>
      </c>
      <c r="C824" s="85" t="str" cm="1">
        <f t="array" ref="C824">IFERROR(INDEX('03.Muestra'!$F$8:$F$42,SMALL(IF("Página Web"='03.Muestra'!$D$8:$D$42,ROW('03.Muestra'!$F$8:$F$42)-MIN(ROW('03.Muestra'!$D$8:$D$42))+1,""),ROW()-816)),"")</f>
        <v>https://www.comunidad.madrid/hospital/12octubre/50-aniversario</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Accesibilidad</v>
      </c>
      <c r="C825" s="85" t="str" cm="1">
        <f t="array" ref="C825">IFERROR(INDEX('03.Muestra'!$F$8:$F$42,SMALL(IF("Página Web"='03.Muestra'!$D$8:$D$42,ROW('03.Muestra'!$F$8:$F$42)-MIN(ROW('03.Muestra'!$D$8:$D$42))+1,""),ROW()-816)),"")</f>
        <v>https://www.comunidad.madrid/hospital/12octubre/declaracion-accesibilidad</v>
      </c>
      <c r="D825" s="99" t="s">
        <v>104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t="str" cm="1">
        <f t="array" ref="A826">IFERROR(INDEX('03.Muestra'!$B$8:$B$42,SMALL(IF("Página Web"='03.Muestra'!$D$8:$D$42,ROW('03.Muestra'!$B$8:$B$42)-MIN(ROW('03.Muestra'!$D$8:$D$42))+1,""),ROW()-816)),"")</f>
        <v/>
      </c>
      <c r="B826" s="85" t="str" cm="1">
        <f t="array" ref="B826">IFERROR(INDEX('03.Muestra'!$C$8:$C$42,SMALL(IF("Página Web"='03.Muestra'!$D$8:$D$42,ROW('03.Muestra'!$C$8:$C$42)-MIN(ROW('03.Muestra'!$D$8:$D$42))+1,""),ROW()-816)),"")</f>
        <v/>
      </c>
      <c r="C826" s="85" t="str" cm="1">
        <f t="array" ref="C826">IFERROR(INDEX('03.Muestra'!$F$8:$F$42,SMALL(IF("Página Web"='03.Muestra'!$D$8:$D$42,ROW('03.Muestra'!$F$8:$F$42)-MIN(ROW('03.Muestra'!$D$8:$D$42))+1,""),ROW()-816)),"")</f>
        <v/>
      </c>
      <c r="D826" s="99" t="str">
        <f t="shared" ref="D826:D851" si="43">IF(AND(B826&lt;&gt;"",C826&lt;&gt;""),"N/T","")</f>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t="str" cm="1">
        <f t="array" ref="A827">IFERROR(INDEX('03.Muestra'!$B$8:$B$42,SMALL(IF("Página Web"='03.Muestra'!$D$8:$D$42,ROW('03.Muestra'!$B$8:$B$42)-MIN(ROW('03.Muestra'!$D$8:$D$42))+1,""),ROW()-816)),"")</f>
        <v/>
      </c>
      <c r="B827" s="85" t="str" cm="1">
        <f t="array" ref="B827">IFERROR(INDEX('03.Muestra'!$C$8:$C$42,SMALL(IF("Página Web"='03.Muestra'!$D$8:$D$42,ROW('03.Muestra'!$C$8:$C$42)-MIN(ROW('03.Muestra'!$D$8:$D$42))+1,""),ROW()-816)),"")</f>
        <v/>
      </c>
      <c r="C827" s="85" t="str" cm="1">
        <f t="array" ref="C827">IFERROR(INDEX('03.Muestra'!$F$8:$F$42,SMALL(IF("Página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Home</v>
      </c>
      <c r="C855" s="85" t="str" cm="1">
        <f t="array" ref="C855">IFERROR(INDEX('03.Muestra'!$F$8:$F$42,SMALL(IF("Página Web"='03.Muestra'!$D$8:$D$42,ROW('03.Muestra'!$F$8:$F$42)-MIN(ROW('03.Muestra'!$D$8:$D$42))+1,""),ROW()-854)),"")</f>
        <v>https://www.comunidad.madrid/hospital/12octubre/</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Ciudadanos</v>
      </c>
      <c r="C856" s="85" t="str" cm="1">
        <f t="array" ref="C856">IFERROR(INDEX('03.Muestra'!$F$8:$F$42,SMALL(IF("Página Web"='03.Muestra'!$D$8:$D$42,ROW('03.Muestra'!$F$8:$F$42)-MIN(ROW('03.Muestra'!$D$8:$D$42))+1,""),ROW()-854)),"")</f>
        <v>https://www.comunidad.madrid/hospital/12octubre/ciudadanos</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9</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Profesionales</v>
      </c>
      <c r="C857" s="85" t="str" cm="1">
        <f t="array" ref="C857">IFERROR(INDEX('03.Muestra'!$F$8:$F$42,SMALL(IF("Página Web"='03.Muestra'!$D$8:$D$42,ROW('03.Muestra'!$F$8:$F$42)-MIN(ROW('03.Muestra'!$D$8:$D$42))+1,""),ROW()-854)),"")</f>
        <v>https://www.comunidad.madrid/hospital/12octubre/profesionales</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Comunicación</v>
      </c>
      <c r="C858" s="85" t="str" cm="1">
        <f t="array" ref="C858">IFERROR(INDEX('03.Muestra'!$F$8:$F$42,SMALL(IF("Página Web"='03.Muestra'!$D$8:$D$42,ROW('03.Muestra'!$F$8:$F$42)-MIN(ROW('03.Muestra'!$D$8:$D$42))+1,""),ROW()-854)),"")</f>
        <v>https://www.comunidad.madrid/hospital/12octubre/comunicación</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Nosotros</v>
      </c>
      <c r="C859" s="85" t="str" cm="1">
        <f t="array" ref="C859">IFERROR(INDEX('03.Muestra'!$F$8:$F$42,SMALL(IF("Página Web"='03.Muestra'!$D$8:$D$42,ROW('03.Muestra'!$F$8:$F$42)-MIN(ROW('03.Muestra'!$D$8:$D$42))+1,""),ROW()-854)),"")</f>
        <v>https://www.comunidad.madrid/hospital/12octubre/nosotros</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Centros de especialidades</v>
      </c>
      <c r="C860" s="85" t="str" cm="1">
        <f t="array" ref="C860">IFERROR(INDEX('03.Muestra'!$F$8:$F$42,SMALL(IF("Página Web"='03.Muestra'!$D$8:$D$42,ROW('03.Muestra'!$F$8:$F$42)-MIN(ROW('03.Muestra'!$D$8:$D$42))+1,""),ROW()-854)),"")</f>
        <v>https://www.comunidad.madrid/hospital/12octubre/nosotros/centros-especialidades-perifericos</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Canal solidario</v>
      </c>
      <c r="C861" s="85" t="str" cm="1">
        <f t="array" ref="C861">IFERROR(INDEX('03.Muestra'!$F$8:$F$42,SMALL(IF("Página Web"='03.Muestra'!$D$8:$D$42,ROW('03.Muestra'!$F$8:$F$42)-MIN(ROW('03.Muestra'!$D$8:$D$42))+1,""),ROW()-854)),"")</f>
        <v>https://www.comunidad.madrid/hospital/12octubre/ciudadanos/canal-solidario</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Aniversario</v>
      </c>
      <c r="C862" s="85" t="str" cm="1">
        <f t="array" ref="C862">IFERROR(INDEX('03.Muestra'!$F$8:$F$42,SMALL(IF("Página Web"='03.Muestra'!$D$8:$D$42,ROW('03.Muestra'!$F$8:$F$42)-MIN(ROW('03.Muestra'!$D$8:$D$42))+1,""),ROW()-854)),"")</f>
        <v>https://www.comunidad.madrid/hospital/12octubre/50-aniversario</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Accesibilidad</v>
      </c>
      <c r="C863" s="85" t="str" cm="1">
        <f t="array" ref="C863">IFERROR(INDEX('03.Muestra'!$F$8:$F$42,SMALL(IF("Página Web"='03.Muestra'!$D$8:$D$42,ROW('03.Muestra'!$F$8:$F$42)-MIN(ROW('03.Muestra'!$D$8:$D$42))+1,""),ROW()-854)),"")</f>
        <v>https://www.comunidad.madrid/hospital/12octubre/declaracion-accesibilidad</v>
      </c>
      <c r="D863" s="99" t="s">
        <v>104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t="str" cm="1">
        <f t="array" ref="A864">IFERROR(INDEX('03.Muestra'!$B$8:$B$42,SMALL(IF("Página Web"='03.Muestra'!$D$8:$D$42,ROW('03.Muestra'!$B$8:$B$42)-MIN(ROW('03.Muestra'!$D$8:$D$42))+1,""),ROW()-854)),"")</f>
        <v/>
      </c>
      <c r="B864" s="85" t="str" cm="1">
        <f t="array" ref="B864">IFERROR(INDEX('03.Muestra'!$C$8:$C$42,SMALL(IF("Página Web"='03.Muestra'!$D$8:$D$42,ROW('03.Muestra'!$C$8:$C$42)-MIN(ROW('03.Muestra'!$D$8:$D$42))+1,""),ROW()-854)),"")</f>
        <v/>
      </c>
      <c r="C864" s="85" t="str" cm="1">
        <f t="array" ref="C864">IFERROR(INDEX('03.Muestra'!$F$8:$F$42,SMALL(IF("Página Web"='03.Muestra'!$D$8:$D$42,ROW('03.Muestra'!$F$8:$F$42)-MIN(ROW('03.Muestra'!$D$8:$D$42))+1,""),ROW()-854)),"")</f>
        <v/>
      </c>
      <c r="D864" s="99" t="str">
        <f t="shared" ref="D864:D889" si="45">IF(AND(B864&lt;&gt;"",C864&lt;&gt;""),"N/T","")</f>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t="str" cm="1">
        <f t="array" ref="A865">IFERROR(INDEX('03.Muestra'!$B$8:$B$42,SMALL(IF("Página Web"='03.Muestra'!$D$8:$D$42,ROW('03.Muestra'!$B$8:$B$42)-MIN(ROW('03.Muestra'!$D$8:$D$42))+1,""),ROW()-854)),"")</f>
        <v/>
      </c>
      <c r="B865" s="85" t="str" cm="1">
        <f t="array" ref="B865">IFERROR(INDEX('03.Muestra'!$C$8:$C$42,SMALL(IF("Página Web"='03.Muestra'!$D$8:$D$42,ROW('03.Muestra'!$C$8:$C$42)-MIN(ROW('03.Muestra'!$D$8:$D$42))+1,""),ROW()-854)),"")</f>
        <v/>
      </c>
      <c r="C865" s="85" t="str" cm="1">
        <f t="array" ref="C865">IFERROR(INDEX('03.Muestra'!$F$8:$F$42,SMALL(IF("Página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Home</v>
      </c>
      <c r="C893" s="85" t="str" cm="1">
        <f t="array" ref="C893">IFERROR(INDEX('03.Muestra'!$F$8:$F$42,SMALL(IF("Página Web"='03.Muestra'!$D$8:$D$42,ROW('03.Muestra'!$F$8:$F$42)-MIN(ROW('03.Muestra'!$D$8:$D$42))+1,""),ROW()-892)),"")</f>
        <v>https://www.comunidad.madrid/hospital/12octubre/</v>
      </c>
      <c r="D893" s="99" t="s">
        <v>94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Ciudadanos</v>
      </c>
      <c r="C894" s="85" t="str" cm="1">
        <f t="array" ref="C894">IFERROR(INDEX('03.Muestra'!$F$8:$F$42,SMALL(IF("Página Web"='03.Muestra'!$D$8:$D$42,ROW('03.Muestra'!$F$8:$F$42)-MIN(ROW('03.Muestra'!$D$8:$D$42))+1,""),ROW()-892)),"")</f>
        <v>https://www.comunidad.madrid/hospital/12octubre/ciudadanos</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8</v>
      </c>
      <c r="I894" s="91">
        <f ca="1">COUNTIF($D893:INDIRECT("$D" &amp;  SUM(ROW()-1,'03.Muestra'!$D$45)-1),I893)</f>
        <v>1</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Profesionales</v>
      </c>
      <c r="C895" s="85" t="str" cm="1">
        <f t="array" ref="C895">IFERROR(INDEX('03.Muestra'!$F$8:$F$42,SMALL(IF("Página Web"='03.Muestra'!$D$8:$D$42,ROW('03.Muestra'!$F$8:$F$42)-MIN(ROW('03.Muestra'!$D$8:$D$42))+1,""),ROW()-892)),"")</f>
        <v>https://www.comunidad.madrid/hospital/12octubre/profesionales</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Comunicación</v>
      </c>
      <c r="C896" s="85" t="str" cm="1">
        <f t="array" ref="C896">IFERROR(INDEX('03.Muestra'!$F$8:$F$42,SMALL(IF("Página Web"='03.Muestra'!$D$8:$D$42,ROW('03.Muestra'!$F$8:$F$42)-MIN(ROW('03.Muestra'!$D$8:$D$42))+1,""),ROW()-892)),"")</f>
        <v>https://www.comunidad.madrid/hospital/12octubre/comunicación</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Nosotros</v>
      </c>
      <c r="C897" s="85" t="str" cm="1">
        <f t="array" ref="C897">IFERROR(INDEX('03.Muestra'!$F$8:$F$42,SMALL(IF("Página Web"='03.Muestra'!$D$8:$D$42,ROW('03.Muestra'!$F$8:$F$42)-MIN(ROW('03.Muestra'!$D$8:$D$42))+1,""),ROW()-892)),"")</f>
        <v>https://www.comunidad.madrid/hospital/12octubre/nosotros</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Centros de especialidades</v>
      </c>
      <c r="C898" s="85" t="str" cm="1">
        <f t="array" ref="C898">IFERROR(INDEX('03.Muestra'!$F$8:$F$42,SMALL(IF("Página Web"='03.Muestra'!$D$8:$D$42,ROW('03.Muestra'!$F$8:$F$42)-MIN(ROW('03.Muestra'!$D$8:$D$42))+1,""),ROW()-892)),"")</f>
        <v>https://www.comunidad.madrid/hospital/12octubre/nosotros/centros-especialidades-perifericos</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Canal solidario</v>
      </c>
      <c r="C899" s="85" t="str" cm="1">
        <f t="array" ref="C899">IFERROR(INDEX('03.Muestra'!$F$8:$F$42,SMALL(IF("Página Web"='03.Muestra'!$D$8:$D$42,ROW('03.Muestra'!$F$8:$F$42)-MIN(ROW('03.Muestra'!$D$8:$D$42))+1,""),ROW()-892)),"")</f>
        <v>https://www.comunidad.madrid/hospital/12octubre/ciudadanos/canal-solidario</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Aniversario</v>
      </c>
      <c r="C900" s="85" t="str" cm="1">
        <f t="array" ref="C900">IFERROR(INDEX('03.Muestra'!$F$8:$F$42,SMALL(IF("Página Web"='03.Muestra'!$D$8:$D$42,ROW('03.Muestra'!$F$8:$F$42)-MIN(ROW('03.Muestra'!$D$8:$D$42))+1,""),ROW()-892)),"")</f>
        <v>https://www.comunidad.madrid/hospital/12octubre/50-aniversario</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Accesibilidad</v>
      </c>
      <c r="C901" s="85" t="str" cm="1">
        <f t="array" ref="C901">IFERROR(INDEX('03.Muestra'!$F$8:$F$42,SMALL(IF("Página Web"='03.Muestra'!$D$8:$D$42,ROW('03.Muestra'!$F$8:$F$42)-MIN(ROW('03.Muestra'!$D$8:$D$42))+1,""),ROW()-892)),"")</f>
        <v>https://www.comunidad.madrid/hospital/12octubre/declaracion-accesibilidad</v>
      </c>
      <c r="D901" s="99" t="s">
        <v>104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t="str" cm="1">
        <f t="array" ref="A902">IFERROR(INDEX('03.Muestra'!$B$8:$B$42,SMALL(IF("Página Web"='03.Muestra'!$D$8:$D$42,ROW('03.Muestra'!$B$8:$B$42)-MIN(ROW('03.Muestra'!$D$8:$D$42))+1,""),ROW()-892)),"")</f>
        <v/>
      </c>
      <c r="B902" s="85" t="str" cm="1">
        <f t="array" ref="B902">IFERROR(INDEX('03.Muestra'!$C$8:$C$42,SMALL(IF("Página Web"='03.Muestra'!$D$8:$D$42,ROW('03.Muestra'!$C$8:$C$42)-MIN(ROW('03.Muestra'!$D$8:$D$42))+1,""),ROW()-892)),"")</f>
        <v/>
      </c>
      <c r="C902" s="85" t="str" cm="1">
        <f t="array" ref="C902">IFERROR(INDEX('03.Muestra'!$F$8:$F$42,SMALL(IF("Página Web"='03.Muestra'!$D$8:$D$42,ROW('03.Muestra'!$F$8:$F$42)-MIN(ROW('03.Muestra'!$D$8:$D$42))+1,""),ROW()-892)),"")</f>
        <v/>
      </c>
      <c r="D902" s="99" t="str">
        <f t="shared" ref="D902:D927" si="47">IF(AND(B902&lt;&gt;"",C902&lt;&gt;""),"N/T","")</f>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t="str" cm="1">
        <f t="array" ref="A903">IFERROR(INDEX('03.Muestra'!$B$8:$B$42,SMALL(IF("Página Web"='03.Muestra'!$D$8:$D$42,ROW('03.Muestra'!$B$8:$B$42)-MIN(ROW('03.Muestra'!$D$8:$D$42))+1,""),ROW()-892)),"")</f>
        <v/>
      </c>
      <c r="B903" s="85" t="str" cm="1">
        <f t="array" ref="B903">IFERROR(INDEX('03.Muestra'!$C$8:$C$42,SMALL(IF("Página Web"='03.Muestra'!$D$8:$D$42,ROW('03.Muestra'!$C$8:$C$42)-MIN(ROW('03.Muestra'!$D$8:$D$42))+1,""),ROW()-892)),"")</f>
        <v/>
      </c>
      <c r="C903" s="85" t="str" cm="1">
        <f t="array" ref="C903">IFERROR(INDEX('03.Muestra'!$F$8:$F$42,SMALL(IF("Página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Home</v>
      </c>
      <c r="C931" s="85" t="str" cm="1">
        <f t="array" ref="C931">IFERROR(INDEX('03.Muestra'!$F$8:$F$42,SMALL(IF("Página Web"='03.Muestra'!$D$8:$D$42,ROW('03.Muestra'!$F$8:$F$42)-MIN(ROW('03.Muestra'!$D$8:$D$42))+1,""),ROW()-930)),"")</f>
        <v>https://www.comunidad.madrid/hospital/12octubre/</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Ciudadanos</v>
      </c>
      <c r="C932" s="85" t="str" cm="1">
        <f t="array" ref="C932">IFERROR(INDEX('03.Muestra'!$F$8:$F$42,SMALL(IF("Página Web"='03.Muestra'!$D$8:$D$42,ROW('03.Muestra'!$F$8:$F$42)-MIN(ROW('03.Muestra'!$D$8:$D$42))+1,""),ROW()-930)),"")</f>
        <v>https://www.comunidad.madrid/hospital/12octubre/ciudadanos</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9</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Profesionales</v>
      </c>
      <c r="C933" s="85" t="str" cm="1">
        <f t="array" ref="C933">IFERROR(INDEX('03.Muestra'!$F$8:$F$42,SMALL(IF("Página Web"='03.Muestra'!$D$8:$D$42,ROW('03.Muestra'!$F$8:$F$42)-MIN(ROW('03.Muestra'!$D$8:$D$42))+1,""),ROW()-930)),"")</f>
        <v>https://www.comunidad.madrid/hospital/12octubre/profesionales</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Comunicación</v>
      </c>
      <c r="C934" s="85" t="str" cm="1">
        <f t="array" ref="C934">IFERROR(INDEX('03.Muestra'!$F$8:$F$42,SMALL(IF("Página Web"='03.Muestra'!$D$8:$D$42,ROW('03.Muestra'!$F$8:$F$42)-MIN(ROW('03.Muestra'!$D$8:$D$42))+1,""),ROW()-930)),"")</f>
        <v>https://www.comunidad.madrid/hospital/12octubre/comunicación</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Nosotros</v>
      </c>
      <c r="C935" s="85" t="str" cm="1">
        <f t="array" ref="C935">IFERROR(INDEX('03.Muestra'!$F$8:$F$42,SMALL(IF("Página Web"='03.Muestra'!$D$8:$D$42,ROW('03.Muestra'!$F$8:$F$42)-MIN(ROW('03.Muestra'!$D$8:$D$42))+1,""),ROW()-930)),"")</f>
        <v>https://www.comunidad.madrid/hospital/12octubre/nosotros</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Centros de especialidades</v>
      </c>
      <c r="C936" s="85" t="str" cm="1">
        <f t="array" ref="C936">IFERROR(INDEX('03.Muestra'!$F$8:$F$42,SMALL(IF("Página Web"='03.Muestra'!$D$8:$D$42,ROW('03.Muestra'!$F$8:$F$42)-MIN(ROW('03.Muestra'!$D$8:$D$42))+1,""),ROW()-930)),"")</f>
        <v>https://www.comunidad.madrid/hospital/12octubre/nosotros/centros-especialidades-perifericos</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Canal solidario</v>
      </c>
      <c r="C937" s="85" t="str" cm="1">
        <f t="array" ref="C937">IFERROR(INDEX('03.Muestra'!$F$8:$F$42,SMALL(IF("Página Web"='03.Muestra'!$D$8:$D$42,ROW('03.Muestra'!$F$8:$F$42)-MIN(ROW('03.Muestra'!$D$8:$D$42))+1,""),ROW()-930)),"")</f>
        <v>https://www.comunidad.madrid/hospital/12octubre/ciudadanos/canal-solidario</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Aniversario</v>
      </c>
      <c r="C938" s="85" t="str" cm="1">
        <f t="array" ref="C938">IFERROR(INDEX('03.Muestra'!$F$8:$F$42,SMALL(IF("Página Web"='03.Muestra'!$D$8:$D$42,ROW('03.Muestra'!$F$8:$F$42)-MIN(ROW('03.Muestra'!$D$8:$D$42))+1,""),ROW()-930)),"")</f>
        <v>https://www.comunidad.madrid/hospital/12octubre/50-aniversario</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Accesibilidad</v>
      </c>
      <c r="C939" s="85" t="str" cm="1">
        <f t="array" ref="C939">IFERROR(INDEX('03.Muestra'!$F$8:$F$42,SMALL(IF("Página Web"='03.Muestra'!$D$8:$D$42,ROW('03.Muestra'!$F$8:$F$42)-MIN(ROW('03.Muestra'!$D$8:$D$42))+1,""),ROW()-930)),"")</f>
        <v>https://www.comunidad.madrid/hospital/12octubre/declaracion-accesibilidad</v>
      </c>
      <c r="D939" s="99" t="s">
        <v>104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t="str" cm="1">
        <f t="array" ref="A940">IFERROR(INDEX('03.Muestra'!$B$8:$B$42,SMALL(IF("Página Web"='03.Muestra'!$D$8:$D$42,ROW('03.Muestra'!$B$8:$B$42)-MIN(ROW('03.Muestra'!$D$8:$D$42))+1,""),ROW()-930)),"")</f>
        <v/>
      </c>
      <c r="B940" s="85" t="str" cm="1">
        <f t="array" ref="B940">IFERROR(INDEX('03.Muestra'!$C$8:$C$42,SMALL(IF("Página Web"='03.Muestra'!$D$8:$D$42,ROW('03.Muestra'!$C$8:$C$42)-MIN(ROW('03.Muestra'!$D$8:$D$42))+1,""),ROW()-930)),"")</f>
        <v/>
      </c>
      <c r="C940" s="85" t="str" cm="1">
        <f t="array" ref="C940">IFERROR(INDEX('03.Muestra'!$F$8:$F$42,SMALL(IF("Página Web"='03.Muestra'!$D$8:$D$42,ROW('03.Muestra'!$F$8:$F$42)-MIN(ROW('03.Muestra'!$D$8:$D$42))+1,""),ROW()-930)),"")</f>
        <v/>
      </c>
      <c r="D940" s="99" t="str">
        <f t="shared" ref="D940:D965" si="49">IF(AND(B940&lt;&gt;"",C940&lt;&gt;""),"N/T","")</f>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t="str" cm="1">
        <f t="array" ref="A941">IFERROR(INDEX('03.Muestra'!$B$8:$B$42,SMALL(IF("Página Web"='03.Muestra'!$D$8:$D$42,ROW('03.Muestra'!$B$8:$B$42)-MIN(ROW('03.Muestra'!$D$8:$D$42))+1,""),ROW()-930)),"")</f>
        <v/>
      </c>
      <c r="B941" s="85" t="str" cm="1">
        <f t="array" ref="B941">IFERROR(INDEX('03.Muestra'!$C$8:$C$42,SMALL(IF("Página Web"='03.Muestra'!$D$8:$D$42,ROW('03.Muestra'!$C$8:$C$42)-MIN(ROW('03.Muestra'!$D$8:$D$42))+1,""),ROW()-930)),"")</f>
        <v/>
      </c>
      <c r="C941" s="85" t="str" cm="1">
        <f t="array" ref="C941">IFERROR(INDEX('03.Muestra'!$F$8:$F$42,SMALL(IF("Página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Home</v>
      </c>
      <c r="C969" s="85" t="str" cm="1">
        <f t="array" ref="C969">IFERROR(INDEX('03.Muestra'!$F$8:$F$42,SMALL(IF("Página Web"='03.Muestra'!$D$8:$D$42,ROW('03.Muestra'!$F$8:$F$42)-MIN(ROW('03.Muestra'!$D$8:$D$42))+1,""),ROW()-968)),"")</f>
        <v>https://www.comunidad.madrid/hospital/12octubre/</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Ciudadanos</v>
      </c>
      <c r="C970" s="85" t="str" cm="1">
        <f t="array" ref="C970">IFERROR(INDEX('03.Muestra'!$F$8:$F$42,SMALL(IF("Página Web"='03.Muestra'!$D$8:$D$42,ROW('03.Muestra'!$F$8:$F$42)-MIN(ROW('03.Muestra'!$D$8:$D$42))+1,""),ROW()-968)),"")</f>
        <v>https://www.comunidad.madrid/hospital/12octubre/ciudadanos</v>
      </c>
      <c r="D970" s="99" t="s">
        <v>92</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9</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Profesionales</v>
      </c>
      <c r="C971" s="85" t="str" cm="1">
        <f t="array" ref="C971">IFERROR(INDEX('03.Muestra'!$F$8:$F$42,SMALL(IF("Página Web"='03.Muestra'!$D$8:$D$42,ROW('03.Muestra'!$F$8:$F$42)-MIN(ROW('03.Muestra'!$D$8:$D$42))+1,""),ROW()-968)),"")</f>
        <v>https://www.comunidad.madrid/hospital/12octubre/profesionales</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Comunicación</v>
      </c>
      <c r="C972" s="85" t="str" cm="1">
        <f t="array" ref="C972">IFERROR(INDEX('03.Muestra'!$F$8:$F$42,SMALL(IF("Página Web"='03.Muestra'!$D$8:$D$42,ROW('03.Muestra'!$F$8:$F$42)-MIN(ROW('03.Muestra'!$D$8:$D$42))+1,""),ROW()-968)),"")</f>
        <v>https://www.comunidad.madrid/hospital/12octubre/comunicación</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Nosotros</v>
      </c>
      <c r="C973" s="85" t="str" cm="1">
        <f t="array" ref="C973">IFERROR(INDEX('03.Muestra'!$F$8:$F$42,SMALL(IF("Página Web"='03.Muestra'!$D$8:$D$42,ROW('03.Muestra'!$F$8:$F$42)-MIN(ROW('03.Muestra'!$D$8:$D$42))+1,""),ROW()-968)),"")</f>
        <v>https://www.comunidad.madrid/hospital/12octubre/nosotros</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Centros de especialidades</v>
      </c>
      <c r="C974" s="85" t="str" cm="1">
        <f t="array" ref="C974">IFERROR(INDEX('03.Muestra'!$F$8:$F$42,SMALL(IF("Página Web"='03.Muestra'!$D$8:$D$42,ROW('03.Muestra'!$F$8:$F$42)-MIN(ROW('03.Muestra'!$D$8:$D$42))+1,""),ROW()-968)),"")</f>
        <v>https://www.comunidad.madrid/hospital/12octubre/nosotros/centros-especialidades-perifericos</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Canal solidario</v>
      </c>
      <c r="C975" s="85" t="str" cm="1">
        <f t="array" ref="C975">IFERROR(INDEX('03.Muestra'!$F$8:$F$42,SMALL(IF("Página Web"='03.Muestra'!$D$8:$D$42,ROW('03.Muestra'!$F$8:$F$42)-MIN(ROW('03.Muestra'!$D$8:$D$42))+1,""),ROW()-968)),"")</f>
        <v>https://www.comunidad.madrid/hospital/12octubre/ciudadanos/canal-solidario</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Aniversario</v>
      </c>
      <c r="C976" s="85" t="str" cm="1">
        <f t="array" ref="C976">IFERROR(INDEX('03.Muestra'!$F$8:$F$42,SMALL(IF("Página Web"='03.Muestra'!$D$8:$D$42,ROW('03.Muestra'!$F$8:$F$42)-MIN(ROW('03.Muestra'!$D$8:$D$42))+1,""),ROW()-968)),"")</f>
        <v>https://www.comunidad.madrid/hospital/12octubre/50-aniversario</v>
      </c>
      <c r="D976" s="99" t="s">
        <v>92</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Accesibilidad</v>
      </c>
      <c r="C977" s="85" t="str" cm="1">
        <f t="array" ref="C977">IFERROR(INDEX('03.Muestra'!$F$8:$F$42,SMALL(IF("Página Web"='03.Muestra'!$D$8:$D$42,ROW('03.Muestra'!$F$8:$F$42)-MIN(ROW('03.Muestra'!$D$8:$D$42))+1,""),ROW()-968)),"")</f>
        <v>https://www.comunidad.madrid/hospital/12octubre/declaracion-accesibilidad</v>
      </c>
      <c r="D977" s="99" t="s">
        <v>92</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t="str" cm="1">
        <f t="array" ref="A978">IFERROR(INDEX('03.Muestra'!$B$8:$B$42,SMALL(IF("Página Web"='03.Muestra'!$D$8:$D$42,ROW('03.Muestra'!$B$8:$B$42)-MIN(ROW('03.Muestra'!$D$8:$D$42))+1,""),ROW()-968)),"")</f>
        <v/>
      </c>
      <c r="B978" s="85" t="str" cm="1">
        <f t="array" ref="B978">IFERROR(INDEX('03.Muestra'!$C$8:$C$42,SMALL(IF("Página Web"='03.Muestra'!$D$8:$D$42,ROW('03.Muestra'!$C$8:$C$42)-MIN(ROW('03.Muestra'!$D$8:$D$42))+1,""),ROW()-968)),"")</f>
        <v/>
      </c>
      <c r="C978" s="85" t="str" cm="1">
        <f t="array" ref="C978">IFERROR(INDEX('03.Muestra'!$F$8:$F$42,SMALL(IF("Página Web"='03.Muestra'!$D$8:$D$42,ROW('03.Muestra'!$F$8:$F$42)-MIN(ROW('03.Muestra'!$D$8:$D$42))+1,""),ROW()-968)),"")</f>
        <v/>
      </c>
      <c r="D978" s="99" t="str">
        <f t="shared" ref="D978:D1003" si="51">IF(AND(B978&lt;&gt;"",C978&lt;&gt;""),"N/T","")</f>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t="str" cm="1">
        <f t="array" ref="A979">IFERROR(INDEX('03.Muestra'!$B$8:$B$42,SMALL(IF("Página Web"='03.Muestra'!$D$8:$D$42,ROW('03.Muestra'!$B$8:$B$42)-MIN(ROW('03.Muestra'!$D$8:$D$42))+1,""),ROW()-968)),"")</f>
        <v/>
      </c>
      <c r="B979" s="85" t="str" cm="1">
        <f t="array" ref="B979">IFERROR(INDEX('03.Muestra'!$C$8:$C$42,SMALL(IF("Página Web"='03.Muestra'!$D$8:$D$42,ROW('03.Muestra'!$C$8:$C$42)-MIN(ROW('03.Muestra'!$D$8:$D$42))+1,""),ROW()-968)),"")</f>
        <v/>
      </c>
      <c r="C979" s="85" t="str" cm="1">
        <f t="array" ref="C979">IFERROR(INDEX('03.Muestra'!$F$8:$F$42,SMALL(IF("Página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Home</v>
      </c>
      <c r="C1007" s="85" t="str" cm="1">
        <f t="array" ref="C1007">IFERROR(INDEX('03.Muestra'!$F$8:$F$42,SMALL(IF("Página Web"='03.Muestra'!$D$8:$D$42,ROW('03.Muestra'!$F$8:$F$42)-MIN(ROW('03.Muestra'!$D$8:$D$42))+1,""),ROW()-1006)),"")</f>
        <v>https://www.comunidad.madrid/hospital/12octubre/</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Ciudadanos</v>
      </c>
      <c r="C1008" s="85" t="str" cm="1">
        <f t="array" ref="C1008">IFERROR(INDEX('03.Muestra'!$F$8:$F$42,SMALL(IF("Página Web"='03.Muestra'!$D$8:$D$42,ROW('03.Muestra'!$F$8:$F$42)-MIN(ROW('03.Muestra'!$D$8:$D$42))+1,""),ROW()-1006)),"")</f>
        <v>https://www.comunidad.madrid/hospital/12octubre/ciudadanos</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9</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Profesionales</v>
      </c>
      <c r="C1009" s="85" t="str" cm="1">
        <f t="array" ref="C1009">IFERROR(INDEX('03.Muestra'!$F$8:$F$42,SMALL(IF("Página Web"='03.Muestra'!$D$8:$D$42,ROW('03.Muestra'!$F$8:$F$42)-MIN(ROW('03.Muestra'!$D$8:$D$42))+1,""),ROW()-1006)),"")</f>
        <v>https://www.comunidad.madrid/hospital/12octubre/profesionales</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Comunicación</v>
      </c>
      <c r="C1010" s="85" t="str" cm="1">
        <f t="array" ref="C1010">IFERROR(INDEX('03.Muestra'!$F$8:$F$42,SMALL(IF("Página Web"='03.Muestra'!$D$8:$D$42,ROW('03.Muestra'!$F$8:$F$42)-MIN(ROW('03.Muestra'!$D$8:$D$42))+1,""),ROW()-1006)),"")</f>
        <v>https://www.comunidad.madrid/hospital/12octubre/comunicación</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Nosotros</v>
      </c>
      <c r="C1011" s="85" t="str" cm="1">
        <f t="array" ref="C1011">IFERROR(INDEX('03.Muestra'!$F$8:$F$42,SMALL(IF("Página Web"='03.Muestra'!$D$8:$D$42,ROW('03.Muestra'!$F$8:$F$42)-MIN(ROW('03.Muestra'!$D$8:$D$42))+1,""),ROW()-1006)),"")</f>
        <v>https://www.comunidad.madrid/hospital/12octubre/nosotros</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Centros de especialidades</v>
      </c>
      <c r="C1012" s="85" t="str" cm="1">
        <f t="array" ref="C1012">IFERROR(INDEX('03.Muestra'!$F$8:$F$42,SMALL(IF("Página Web"='03.Muestra'!$D$8:$D$42,ROW('03.Muestra'!$F$8:$F$42)-MIN(ROW('03.Muestra'!$D$8:$D$42))+1,""),ROW()-1006)),"")</f>
        <v>https://www.comunidad.madrid/hospital/12octubre/nosotros/centros-especialidades-perifericos</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Canal solidario</v>
      </c>
      <c r="C1013" s="85" t="str" cm="1">
        <f t="array" ref="C1013">IFERROR(INDEX('03.Muestra'!$F$8:$F$42,SMALL(IF("Página Web"='03.Muestra'!$D$8:$D$42,ROW('03.Muestra'!$F$8:$F$42)-MIN(ROW('03.Muestra'!$D$8:$D$42))+1,""),ROW()-1006)),"")</f>
        <v>https://www.comunidad.madrid/hospital/12octubre/ciudadanos/canal-solidario</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Aniversario</v>
      </c>
      <c r="C1014" s="85" t="str" cm="1">
        <f t="array" ref="C1014">IFERROR(INDEX('03.Muestra'!$F$8:$F$42,SMALL(IF("Página Web"='03.Muestra'!$D$8:$D$42,ROW('03.Muestra'!$F$8:$F$42)-MIN(ROW('03.Muestra'!$D$8:$D$42))+1,""),ROW()-1006)),"")</f>
        <v>https://www.comunidad.madrid/hospital/12octubre/50-aniversario</v>
      </c>
      <c r="D1014" s="99" t="s">
        <v>92</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Accesibilidad</v>
      </c>
      <c r="C1015" s="85" t="str" cm="1">
        <f t="array" ref="C1015">IFERROR(INDEX('03.Muestra'!$F$8:$F$42,SMALL(IF("Página Web"='03.Muestra'!$D$8:$D$42,ROW('03.Muestra'!$F$8:$F$42)-MIN(ROW('03.Muestra'!$D$8:$D$42))+1,""),ROW()-1006)),"")</f>
        <v>https://www.comunidad.madrid/hospital/12octubre/declaracion-accesibilidad</v>
      </c>
      <c r="D1015" s="99" t="s">
        <v>92</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t="str" cm="1">
        <f t="array" ref="A1016">IFERROR(INDEX('03.Muestra'!$B$8:$B$42,SMALL(IF("Página Web"='03.Muestra'!$D$8:$D$42,ROW('03.Muestra'!$B$8:$B$42)-MIN(ROW('03.Muestra'!$D$8:$D$42))+1,""),ROW()-1006)),"")</f>
        <v/>
      </c>
      <c r="B1016" s="85" t="str" cm="1">
        <f t="array" ref="B1016">IFERROR(INDEX('03.Muestra'!$C$8:$C$42,SMALL(IF("Página Web"='03.Muestra'!$D$8:$D$42,ROW('03.Muestra'!$C$8:$C$42)-MIN(ROW('03.Muestra'!$D$8:$D$42))+1,""),ROW()-1006)),"")</f>
        <v/>
      </c>
      <c r="C1016" s="85" t="str" cm="1">
        <f t="array" ref="C1016">IFERROR(INDEX('03.Muestra'!$F$8:$F$42,SMALL(IF("Página Web"='03.Muestra'!$D$8:$D$42,ROW('03.Muestra'!$F$8:$F$42)-MIN(ROW('03.Muestra'!$D$8:$D$42))+1,""),ROW()-1006)),"")</f>
        <v/>
      </c>
      <c r="D1016" s="99" t="str">
        <f t="shared" ref="D1016:D1041" si="53">IF(AND(B1016&lt;&gt;"",C1016&lt;&gt;""),"N/T","")</f>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t="str" cm="1">
        <f t="array" ref="A1017">IFERROR(INDEX('03.Muestra'!$B$8:$B$42,SMALL(IF("Página Web"='03.Muestra'!$D$8:$D$42,ROW('03.Muestra'!$B$8:$B$42)-MIN(ROW('03.Muestra'!$D$8:$D$42))+1,""),ROW()-1006)),"")</f>
        <v/>
      </c>
      <c r="B1017" s="85" t="str" cm="1">
        <f t="array" ref="B1017">IFERROR(INDEX('03.Muestra'!$C$8:$C$42,SMALL(IF("Página Web"='03.Muestra'!$D$8:$D$42,ROW('03.Muestra'!$C$8:$C$42)-MIN(ROW('03.Muestra'!$D$8:$D$42))+1,""),ROW()-1006)),"")</f>
        <v/>
      </c>
      <c r="C1017" s="85" t="str" cm="1">
        <f t="array" ref="C1017">IFERROR(INDEX('03.Muestra'!$F$8:$F$42,SMALL(IF("Página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Home</v>
      </c>
      <c r="C1045" s="85" t="str" cm="1">
        <f t="array" ref="C1045">IFERROR(INDEX('03.Muestra'!$F$8:$F$42,SMALL(IF("Página Web"='03.Muestra'!$D$8:$D$42,ROW('03.Muestra'!$F$8:$F$42)-MIN(ROW('03.Muestra'!$D$8:$D$42))+1,""),ROW()-1044)),"")</f>
        <v>https://www.comunidad.madrid/hospital/12octubre/</v>
      </c>
      <c r="D1045" s="99" t="s">
        <v>94</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Ciudadanos</v>
      </c>
      <c r="C1046" s="85" t="str" cm="1">
        <f t="array" ref="C1046">IFERROR(INDEX('03.Muestra'!$F$8:$F$42,SMALL(IF("Página Web"='03.Muestra'!$D$8:$D$42,ROW('03.Muestra'!$F$8:$F$42)-MIN(ROW('03.Muestra'!$D$8:$D$42))+1,""),ROW()-1044)),"")</f>
        <v>https://www.comunidad.madrid/hospital/12octubre/ciudadanos</v>
      </c>
      <c r="D1046" s="99" t="s">
        <v>94</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9</v>
      </c>
      <c r="J1046" s="91">
        <f ca="1">COUNTIF($D1045:INDIRECT("$D" &amp;  SUM(ROW()-1,'03.Muestra'!$D$45)-1),J1045)</f>
        <v>0</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Profesionales</v>
      </c>
      <c r="C1047" s="85" t="str" cm="1">
        <f t="array" ref="C1047">IFERROR(INDEX('03.Muestra'!$F$8:$F$42,SMALL(IF("Página Web"='03.Muestra'!$D$8:$D$42,ROW('03.Muestra'!$F$8:$F$42)-MIN(ROW('03.Muestra'!$D$8:$D$42))+1,""),ROW()-1044)),"")</f>
        <v>https://www.comunidad.madrid/hospital/12octubre/profesionales</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Comunicación</v>
      </c>
      <c r="C1048" s="85" t="str" cm="1">
        <f t="array" ref="C1048">IFERROR(INDEX('03.Muestra'!$F$8:$F$42,SMALL(IF("Página Web"='03.Muestra'!$D$8:$D$42,ROW('03.Muestra'!$F$8:$F$42)-MIN(ROW('03.Muestra'!$D$8:$D$42))+1,""),ROW()-1044)),"")</f>
        <v>https://www.comunidad.madrid/hospital/12octubre/comunicación</v>
      </c>
      <c r="D1048" s="99" t="s">
        <v>94</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Nosotros</v>
      </c>
      <c r="C1049" s="85" t="str" cm="1">
        <f t="array" ref="C1049">IFERROR(INDEX('03.Muestra'!$F$8:$F$42,SMALL(IF("Página Web"='03.Muestra'!$D$8:$D$42,ROW('03.Muestra'!$F$8:$F$42)-MIN(ROW('03.Muestra'!$D$8:$D$42))+1,""),ROW()-1044)),"")</f>
        <v>https://www.comunidad.madrid/hospital/12octubre/nosotros</v>
      </c>
      <c r="D1049" s="99" t="s">
        <v>94</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Centros de especialidades</v>
      </c>
      <c r="C1050" s="85" t="str" cm="1">
        <f t="array" ref="C1050">IFERROR(INDEX('03.Muestra'!$F$8:$F$42,SMALL(IF("Página Web"='03.Muestra'!$D$8:$D$42,ROW('03.Muestra'!$F$8:$F$42)-MIN(ROW('03.Muestra'!$D$8:$D$42))+1,""),ROW()-1044)),"")</f>
        <v>https://www.comunidad.madrid/hospital/12octubre/nosotros/centros-especialidades-perifericos</v>
      </c>
      <c r="D1050" s="99" t="s">
        <v>94</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Canal solidario</v>
      </c>
      <c r="C1051" s="85" t="str" cm="1">
        <f t="array" ref="C1051">IFERROR(INDEX('03.Muestra'!$F$8:$F$42,SMALL(IF("Página Web"='03.Muestra'!$D$8:$D$42,ROW('03.Muestra'!$F$8:$F$42)-MIN(ROW('03.Muestra'!$D$8:$D$42))+1,""),ROW()-1044)),"")</f>
        <v>https://www.comunidad.madrid/hospital/12octubre/ciudadanos/canal-solidario</v>
      </c>
      <c r="D1051" s="99" t="s">
        <v>94</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Aniversario</v>
      </c>
      <c r="C1052" s="85" t="str" cm="1">
        <f t="array" ref="C1052">IFERROR(INDEX('03.Muestra'!$F$8:$F$42,SMALL(IF("Página Web"='03.Muestra'!$D$8:$D$42,ROW('03.Muestra'!$F$8:$F$42)-MIN(ROW('03.Muestra'!$D$8:$D$42))+1,""),ROW()-1044)),"")</f>
        <v>https://www.comunidad.madrid/hospital/12octubre/50-aniversario</v>
      </c>
      <c r="D1052" s="99" t="s">
        <v>94</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Accesibilidad</v>
      </c>
      <c r="C1053" s="85" t="str" cm="1">
        <f t="array" ref="C1053">IFERROR(INDEX('03.Muestra'!$F$8:$F$42,SMALL(IF("Página Web"='03.Muestra'!$D$8:$D$42,ROW('03.Muestra'!$F$8:$F$42)-MIN(ROW('03.Muestra'!$D$8:$D$42))+1,""),ROW()-1044)),"")</f>
        <v>https://www.comunidad.madrid/hospital/12octubre/declaracion-accesibilidad</v>
      </c>
      <c r="D1053" s="99" t="s">
        <v>94</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t="str" cm="1">
        <f t="array" ref="A1054">IFERROR(INDEX('03.Muestra'!$B$8:$B$42,SMALL(IF("Página Web"='03.Muestra'!$D$8:$D$42,ROW('03.Muestra'!$B$8:$B$42)-MIN(ROW('03.Muestra'!$D$8:$D$42))+1,""),ROW()-1044)),"")</f>
        <v/>
      </c>
      <c r="B1054" s="85" t="str" cm="1">
        <f t="array" ref="B1054">IFERROR(INDEX('03.Muestra'!$C$8:$C$42,SMALL(IF("Página Web"='03.Muestra'!$D$8:$D$42,ROW('03.Muestra'!$C$8:$C$42)-MIN(ROW('03.Muestra'!$D$8:$D$42))+1,""),ROW()-1044)),"")</f>
        <v/>
      </c>
      <c r="C1054" s="85" t="str" cm="1">
        <f t="array" ref="C1054">IFERROR(INDEX('03.Muestra'!$F$8:$F$42,SMALL(IF("Página Web"='03.Muestra'!$D$8:$D$42,ROW('03.Muestra'!$F$8:$F$42)-MIN(ROW('03.Muestra'!$D$8:$D$42))+1,""),ROW()-1044)),"")</f>
        <v/>
      </c>
      <c r="D1054" s="99" t="str">
        <f t="shared" ref="D1054:D1079" si="55">IF(AND(B1054&lt;&gt;"",C1054&lt;&gt;""),"N/T","")</f>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t="str" cm="1">
        <f t="array" ref="A1055">IFERROR(INDEX('03.Muestra'!$B$8:$B$42,SMALL(IF("Página Web"='03.Muestra'!$D$8:$D$42,ROW('03.Muestra'!$B$8:$B$42)-MIN(ROW('03.Muestra'!$D$8:$D$42))+1,""),ROW()-1044)),"")</f>
        <v/>
      </c>
      <c r="B1055" s="85" t="str" cm="1">
        <f t="array" ref="B1055">IFERROR(INDEX('03.Muestra'!$C$8:$C$42,SMALL(IF("Página Web"='03.Muestra'!$D$8:$D$42,ROW('03.Muestra'!$C$8:$C$42)-MIN(ROW('03.Muestra'!$D$8:$D$42))+1,""),ROW()-1044)),"")</f>
        <v/>
      </c>
      <c r="C1055" s="85" t="str" cm="1">
        <f t="array" ref="C1055">IFERROR(INDEX('03.Muestra'!$F$8:$F$42,SMALL(IF("Página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Home</v>
      </c>
      <c r="C1083" s="85" t="str" cm="1">
        <f t="array" ref="C1083">IFERROR(INDEX('03.Muestra'!$F$8:$F$42,SMALL(IF("Página Web"='03.Muestra'!$D$8:$D$42,ROW('03.Muestra'!$F$8:$F$42)-MIN(ROW('03.Muestra'!$D$8:$D$42))+1,""),ROW()-1082)),"")</f>
        <v>https://www.comunidad.madrid/hospital/12octubre/</v>
      </c>
      <c r="D1083" s="99" t="s">
        <v>94</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Ciudadanos</v>
      </c>
      <c r="C1084" s="85" t="str" cm="1">
        <f t="array" ref="C1084">IFERROR(INDEX('03.Muestra'!$F$8:$F$42,SMALL(IF("Página Web"='03.Muestra'!$D$8:$D$42,ROW('03.Muestra'!$F$8:$F$42)-MIN(ROW('03.Muestra'!$D$8:$D$42))+1,""),ROW()-1082)),"")</f>
        <v>https://www.comunidad.madrid/hospital/12octubre/ciudadanos</v>
      </c>
      <c r="D1084" s="99" t="s">
        <v>92</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1</v>
      </c>
      <c r="J1084" s="91">
        <f ca="1">COUNTIF($D1083:INDIRECT("$D" &amp;  SUM(ROW()-1,'03.Muestra'!$D$45)-1),J1083)</f>
        <v>8</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Profesionales</v>
      </c>
      <c r="C1085" s="85" t="str" cm="1">
        <f t="array" ref="C1085">IFERROR(INDEX('03.Muestra'!$F$8:$F$42,SMALL(IF("Página Web"='03.Muestra'!$D$8:$D$42,ROW('03.Muestra'!$F$8:$F$42)-MIN(ROW('03.Muestra'!$D$8:$D$42))+1,""),ROW()-1082)),"")</f>
        <v>https://www.comunidad.madrid/hospital/12octubre/profesionales</v>
      </c>
      <c r="D1085" s="99" t="s">
        <v>92</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Comunicación</v>
      </c>
      <c r="C1086" s="85" t="str" cm="1">
        <f t="array" ref="C1086">IFERROR(INDEX('03.Muestra'!$F$8:$F$42,SMALL(IF("Página Web"='03.Muestra'!$D$8:$D$42,ROW('03.Muestra'!$F$8:$F$42)-MIN(ROW('03.Muestra'!$D$8:$D$42))+1,""),ROW()-1082)),"")</f>
        <v>https://www.comunidad.madrid/hospital/12octubre/comunicación</v>
      </c>
      <c r="D1086" s="99" t="s">
        <v>92</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Nosotros</v>
      </c>
      <c r="C1087" s="85" t="str" cm="1">
        <f t="array" ref="C1087">IFERROR(INDEX('03.Muestra'!$F$8:$F$42,SMALL(IF("Página Web"='03.Muestra'!$D$8:$D$42,ROW('03.Muestra'!$F$8:$F$42)-MIN(ROW('03.Muestra'!$D$8:$D$42))+1,""),ROW()-1082)),"")</f>
        <v>https://www.comunidad.madrid/hospital/12octubre/nosotros</v>
      </c>
      <c r="D1087" s="99" t="s">
        <v>92</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Centros de especialidades</v>
      </c>
      <c r="C1088" s="85" t="str" cm="1">
        <f t="array" ref="C1088">IFERROR(INDEX('03.Muestra'!$F$8:$F$42,SMALL(IF("Página Web"='03.Muestra'!$D$8:$D$42,ROW('03.Muestra'!$F$8:$F$42)-MIN(ROW('03.Muestra'!$D$8:$D$42))+1,""),ROW()-1082)),"")</f>
        <v>https://www.comunidad.madrid/hospital/12octubre/nosotros/centros-especialidades-perifericos</v>
      </c>
      <c r="D1088" s="99" t="s">
        <v>92</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Canal solidario</v>
      </c>
      <c r="C1089" s="85" t="str" cm="1">
        <f t="array" ref="C1089">IFERROR(INDEX('03.Muestra'!$F$8:$F$42,SMALL(IF("Página Web"='03.Muestra'!$D$8:$D$42,ROW('03.Muestra'!$F$8:$F$42)-MIN(ROW('03.Muestra'!$D$8:$D$42))+1,""),ROW()-1082)),"")</f>
        <v>https://www.comunidad.madrid/hospital/12octubre/ciudadanos/canal-solidario</v>
      </c>
      <c r="D1089" s="99" t="s">
        <v>92</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Aniversario</v>
      </c>
      <c r="C1090" s="85" t="str" cm="1">
        <f t="array" ref="C1090">IFERROR(INDEX('03.Muestra'!$F$8:$F$42,SMALL(IF("Página Web"='03.Muestra'!$D$8:$D$42,ROW('03.Muestra'!$F$8:$F$42)-MIN(ROW('03.Muestra'!$D$8:$D$42))+1,""),ROW()-1082)),"")</f>
        <v>https://www.comunidad.madrid/hospital/12octubre/50-aniversario</v>
      </c>
      <c r="D1090" s="99" t="s">
        <v>92</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Accesibilidad</v>
      </c>
      <c r="C1091" s="85" t="str" cm="1">
        <f t="array" ref="C1091">IFERROR(INDEX('03.Muestra'!$F$8:$F$42,SMALL(IF("Página Web"='03.Muestra'!$D$8:$D$42,ROW('03.Muestra'!$F$8:$F$42)-MIN(ROW('03.Muestra'!$D$8:$D$42))+1,""),ROW()-1082)),"")</f>
        <v>https://www.comunidad.madrid/hospital/12octubre/declaracion-accesibilidad</v>
      </c>
      <c r="D1091" s="99" t="s">
        <v>92</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t="str" cm="1">
        <f t="array" ref="A1092">IFERROR(INDEX('03.Muestra'!$B$8:$B$42,SMALL(IF("Página Web"='03.Muestra'!$D$8:$D$42,ROW('03.Muestra'!$B$8:$B$42)-MIN(ROW('03.Muestra'!$D$8:$D$42))+1,""),ROW()-1082)),"")</f>
        <v/>
      </c>
      <c r="B1092" s="85" t="str" cm="1">
        <f t="array" ref="B1092">IFERROR(INDEX('03.Muestra'!$C$8:$C$42,SMALL(IF("Página Web"='03.Muestra'!$D$8:$D$42,ROW('03.Muestra'!$C$8:$C$42)-MIN(ROW('03.Muestra'!$D$8:$D$42))+1,""),ROW()-1082)),"")</f>
        <v/>
      </c>
      <c r="C1092" s="85" t="str" cm="1">
        <f t="array" ref="C1092">IFERROR(INDEX('03.Muestra'!$F$8:$F$42,SMALL(IF("Página Web"='03.Muestra'!$D$8:$D$42,ROW('03.Muestra'!$F$8:$F$42)-MIN(ROW('03.Muestra'!$D$8:$D$42))+1,""),ROW()-1082)),"")</f>
        <v/>
      </c>
      <c r="D1092" s="99" t="str">
        <f t="shared" ref="D1092:D1117" si="57">IF(AND(B1092&lt;&gt;"",C1092&lt;&gt;""),"N/T","")</f>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t="str" cm="1">
        <f t="array" ref="A1093">IFERROR(INDEX('03.Muestra'!$B$8:$B$42,SMALL(IF("Página Web"='03.Muestra'!$D$8:$D$42,ROW('03.Muestra'!$B$8:$B$42)-MIN(ROW('03.Muestra'!$D$8:$D$42))+1,""),ROW()-1082)),"")</f>
        <v/>
      </c>
      <c r="B1093" s="85" t="str" cm="1">
        <f t="array" ref="B1093">IFERROR(INDEX('03.Muestra'!$C$8:$C$42,SMALL(IF("Página Web"='03.Muestra'!$D$8:$D$42,ROW('03.Muestra'!$C$8:$C$42)-MIN(ROW('03.Muestra'!$D$8:$D$42))+1,""),ROW()-1082)),"")</f>
        <v/>
      </c>
      <c r="C1093" s="85" t="str" cm="1">
        <f t="array" ref="C1093">IFERROR(INDEX('03.Muestra'!$F$8:$F$42,SMALL(IF("Página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Home</v>
      </c>
      <c r="C1121" s="85" t="str" cm="1">
        <f t="array" ref="C1121">IFERROR(INDEX('03.Muestra'!$F$8:$F$42,SMALL(IF("Página Web"='03.Muestra'!$D$8:$D$42,ROW('03.Muestra'!$F$8:$F$42)-MIN(ROW('03.Muestra'!$D$8:$D$42))+1,""),ROW()-1120)),"")</f>
        <v>https://www.comunidad.madrid/hospital/12octubre/</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Ciudadanos</v>
      </c>
      <c r="C1122" s="85" t="str" cm="1">
        <f t="array" ref="C1122">IFERROR(INDEX('03.Muestra'!$F$8:$F$42,SMALL(IF("Página Web"='03.Muestra'!$D$8:$D$42,ROW('03.Muestra'!$F$8:$F$42)-MIN(ROW('03.Muestra'!$D$8:$D$42))+1,""),ROW()-1120)),"")</f>
        <v>https://www.comunidad.madrid/hospital/12octubre/ciudadanos</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9</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Profesionales</v>
      </c>
      <c r="C1123" s="85" t="str" cm="1">
        <f t="array" ref="C1123">IFERROR(INDEX('03.Muestra'!$F$8:$F$42,SMALL(IF("Página Web"='03.Muestra'!$D$8:$D$42,ROW('03.Muestra'!$F$8:$F$42)-MIN(ROW('03.Muestra'!$D$8:$D$42))+1,""),ROW()-1120)),"")</f>
        <v>https://www.comunidad.madrid/hospital/12octubre/profesionales</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Comunicación</v>
      </c>
      <c r="C1124" s="85" t="str" cm="1">
        <f t="array" ref="C1124">IFERROR(INDEX('03.Muestra'!$F$8:$F$42,SMALL(IF("Página Web"='03.Muestra'!$D$8:$D$42,ROW('03.Muestra'!$F$8:$F$42)-MIN(ROW('03.Muestra'!$D$8:$D$42))+1,""),ROW()-1120)),"")</f>
        <v>https://www.comunidad.madrid/hospital/12octubre/comunicación</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Nosotros</v>
      </c>
      <c r="C1125" s="85" t="str" cm="1">
        <f t="array" ref="C1125">IFERROR(INDEX('03.Muestra'!$F$8:$F$42,SMALL(IF("Página Web"='03.Muestra'!$D$8:$D$42,ROW('03.Muestra'!$F$8:$F$42)-MIN(ROW('03.Muestra'!$D$8:$D$42))+1,""),ROW()-1120)),"")</f>
        <v>https://www.comunidad.madrid/hospital/12octubre/nosotros</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Centros de especialidades</v>
      </c>
      <c r="C1126" s="85" t="str" cm="1">
        <f t="array" ref="C1126">IFERROR(INDEX('03.Muestra'!$F$8:$F$42,SMALL(IF("Página Web"='03.Muestra'!$D$8:$D$42,ROW('03.Muestra'!$F$8:$F$42)-MIN(ROW('03.Muestra'!$D$8:$D$42))+1,""),ROW()-1120)),"")</f>
        <v>https://www.comunidad.madrid/hospital/12octubre/nosotros/centros-especialidades-perifericos</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Canal solidario</v>
      </c>
      <c r="C1127" s="85" t="str" cm="1">
        <f t="array" ref="C1127">IFERROR(INDEX('03.Muestra'!$F$8:$F$42,SMALL(IF("Página Web"='03.Muestra'!$D$8:$D$42,ROW('03.Muestra'!$F$8:$F$42)-MIN(ROW('03.Muestra'!$D$8:$D$42))+1,""),ROW()-1120)),"")</f>
        <v>https://www.comunidad.madrid/hospital/12octubre/ciudadanos/canal-solidario</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Aniversario</v>
      </c>
      <c r="C1128" s="85" t="str" cm="1">
        <f t="array" ref="C1128">IFERROR(INDEX('03.Muestra'!$F$8:$F$42,SMALL(IF("Página Web"='03.Muestra'!$D$8:$D$42,ROW('03.Muestra'!$F$8:$F$42)-MIN(ROW('03.Muestra'!$D$8:$D$42))+1,""),ROW()-1120)),"")</f>
        <v>https://www.comunidad.madrid/hospital/12octubre/50-aniversario</v>
      </c>
      <c r="D1128" s="99" t="s">
        <v>92</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Accesibilidad</v>
      </c>
      <c r="C1129" s="85" t="str" cm="1">
        <f t="array" ref="C1129">IFERROR(INDEX('03.Muestra'!$F$8:$F$42,SMALL(IF("Página Web"='03.Muestra'!$D$8:$D$42,ROW('03.Muestra'!$F$8:$F$42)-MIN(ROW('03.Muestra'!$D$8:$D$42))+1,""),ROW()-1120)),"")</f>
        <v>https://www.comunidad.madrid/hospital/12octubre/declaracion-accesibilidad</v>
      </c>
      <c r="D1129" s="99" t="s">
        <v>92</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t="str" cm="1">
        <f t="array" ref="A1130">IFERROR(INDEX('03.Muestra'!$B$8:$B$42,SMALL(IF("Página Web"='03.Muestra'!$D$8:$D$42,ROW('03.Muestra'!$B$8:$B$42)-MIN(ROW('03.Muestra'!$D$8:$D$42))+1,""),ROW()-1120)),"")</f>
        <v/>
      </c>
      <c r="B1130" s="85" t="str" cm="1">
        <f t="array" ref="B1130">IFERROR(INDEX('03.Muestra'!$C$8:$C$42,SMALL(IF("Página Web"='03.Muestra'!$D$8:$D$42,ROW('03.Muestra'!$C$8:$C$42)-MIN(ROW('03.Muestra'!$D$8:$D$42))+1,""),ROW()-1120)),"")</f>
        <v/>
      </c>
      <c r="C1130" s="85" t="str" cm="1">
        <f t="array" ref="C1130">IFERROR(INDEX('03.Muestra'!$F$8:$F$42,SMALL(IF("Página Web"='03.Muestra'!$D$8:$D$42,ROW('03.Muestra'!$F$8:$F$42)-MIN(ROW('03.Muestra'!$D$8:$D$42))+1,""),ROW()-1120)),"")</f>
        <v/>
      </c>
      <c r="D1130" s="99" t="str">
        <f t="shared" ref="D1130:D1155" si="59">IF(AND(B1130&lt;&gt;"",C1130&lt;&gt;""),"N/T","")</f>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t="str" cm="1">
        <f t="array" ref="A1131">IFERROR(INDEX('03.Muestra'!$B$8:$B$42,SMALL(IF("Página Web"='03.Muestra'!$D$8:$D$42,ROW('03.Muestra'!$B$8:$B$42)-MIN(ROW('03.Muestra'!$D$8:$D$42))+1,""),ROW()-1120)),"")</f>
        <v/>
      </c>
      <c r="B1131" s="85" t="str" cm="1">
        <f t="array" ref="B1131">IFERROR(INDEX('03.Muestra'!$C$8:$C$42,SMALL(IF("Página Web"='03.Muestra'!$D$8:$D$42,ROW('03.Muestra'!$C$8:$C$42)-MIN(ROW('03.Muestra'!$D$8:$D$42))+1,""),ROW()-1120)),"")</f>
        <v/>
      </c>
      <c r="C1131" s="85" t="str" cm="1">
        <f t="array" ref="C1131">IFERROR(INDEX('03.Muestra'!$F$8:$F$42,SMALL(IF("Página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Home</v>
      </c>
      <c r="C1159" s="85" t="str" cm="1">
        <f t="array" ref="C1159">IFERROR(INDEX('03.Muestra'!$F$8:$F$42,SMALL(IF("Página Web"='03.Muestra'!$D$8:$D$42,ROW('03.Muestra'!$F$8:$F$42)-MIN(ROW('03.Muestra'!$D$8:$D$42))+1,""),ROW()-1158)),"")</f>
        <v>https://www.comunidad.madrid/hospital/12octubre/</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Ciudadanos</v>
      </c>
      <c r="C1160" s="85" t="str" cm="1">
        <f t="array" ref="C1160">IFERROR(INDEX('03.Muestra'!$F$8:$F$42,SMALL(IF("Página Web"='03.Muestra'!$D$8:$D$42,ROW('03.Muestra'!$F$8:$F$42)-MIN(ROW('03.Muestra'!$D$8:$D$42))+1,""),ROW()-1158)),"")</f>
        <v>https://www.comunidad.madrid/hospital/12octubre/ciudadanos</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9</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Profesionales</v>
      </c>
      <c r="C1161" s="85" t="str" cm="1">
        <f t="array" ref="C1161">IFERROR(INDEX('03.Muestra'!$F$8:$F$42,SMALL(IF("Página Web"='03.Muestra'!$D$8:$D$42,ROW('03.Muestra'!$F$8:$F$42)-MIN(ROW('03.Muestra'!$D$8:$D$42))+1,""),ROW()-1158)),"")</f>
        <v>https://www.comunidad.madrid/hospital/12octubre/profesionales</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Comunicación</v>
      </c>
      <c r="C1162" s="85" t="str" cm="1">
        <f t="array" ref="C1162">IFERROR(INDEX('03.Muestra'!$F$8:$F$42,SMALL(IF("Página Web"='03.Muestra'!$D$8:$D$42,ROW('03.Muestra'!$F$8:$F$42)-MIN(ROW('03.Muestra'!$D$8:$D$42))+1,""),ROW()-1158)),"")</f>
        <v>https://www.comunidad.madrid/hospital/12octubre/comunicación</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Nosotros</v>
      </c>
      <c r="C1163" s="85" t="str" cm="1">
        <f t="array" ref="C1163">IFERROR(INDEX('03.Muestra'!$F$8:$F$42,SMALL(IF("Página Web"='03.Muestra'!$D$8:$D$42,ROW('03.Muestra'!$F$8:$F$42)-MIN(ROW('03.Muestra'!$D$8:$D$42))+1,""),ROW()-1158)),"")</f>
        <v>https://www.comunidad.madrid/hospital/12octubre/nosotros</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Centros de especialidades</v>
      </c>
      <c r="C1164" s="85" t="str" cm="1">
        <f t="array" ref="C1164">IFERROR(INDEX('03.Muestra'!$F$8:$F$42,SMALL(IF("Página Web"='03.Muestra'!$D$8:$D$42,ROW('03.Muestra'!$F$8:$F$42)-MIN(ROW('03.Muestra'!$D$8:$D$42))+1,""),ROW()-1158)),"")</f>
        <v>https://www.comunidad.madrid/hospital/12octubre/nosotros/centros-especialidades-perifericos</v>
      </c>
      <c r="D1164" s="99" t="s">
        <v>92</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Canal solidario</v>
      </c>
      <c r="C1165" s="85" t="str" cm="1">
        <f t="array" ref="C1165">IFERROR(INDEX('03.Muestra'!$F$8:$F$42,SMALL(IF("Página Web"='03.Muestra'!$D$8:$D$42,ROW('03.Muestra'!$F$8:$F$42)-MIN(ROW('03.Muestra'!$D$8:$D$42))+1,""),ROW()-1158)),"")</f>
        <v>https://www.comunidad.madrid/hospital/12octubre/ciudadanos/canal-solidario</v>
      </c>
      <c r="D1165" s="99" t="s">
        <v>92</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Aniversario</v>
      </c>
      <c r="C1166" s="85" t="str" cm="1">
        <f t="array" ref="C1166">IFERROR(INDEX('03.Muestra'!$F$8:$F$42,SMALL(IF("Página Web"='03.Muestra'!$D$8:$D$42,ROW('03.Muestra'!$F$8:$F$42)-MIN(ROW('03.Muestra'!$D$8:$D$42))+1,""),ROW()-1158)),"")</f>
        <v>https://www.comunidad.madrid/hospital/12octubre/50-aniversario</v>
      </c>
      <c r="D1166" s="99" t="s">
        <v>92</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Accesibilidad</v>
      </c>
      <c r="C1167" s="85" t="str" cm="1">
        <f t="array" ref="C1167">IFERROR(INDEX('03.Muestra'!$F$8:$F$42,SMALL(IF("Página Web"='03.Muestra'!$D$8:$D$42,ROW('03.Muestra'!$F$8:$F$42)-MIN(ROW('03.Muestra'!$D$8:$D$42))+1,""),ROW()-1158)),"")</f>
        <v>https://www.comunidad.madrid/hospital/12octubre/declaracion-accesibilidad</v>
      </c>
      <c r="D1167" s="99" t="s">
        <v>92</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t="str" cm="1">
        <f t="array" ref="A1168">IFERROR(INDEX('03.Muestra'!$B$8:$B$42,SMALL(IF("Página Web"='03.Muestra'!$D$8:$D$42,ROW('03.Muestra'!$B$8:$B$42)-MIN(ROW('03.Muestra'!$D$8:$D$42))+1,""),ROW()-1158)),"")</f>
        <v/>
      </c>
      <c r="B1168" s="85" t="str" cm="1">
        <f t="array" ref="B1168">IFERROR(INDEX('03.Muestra'!$C$8:$C$42,SMALL(IF("Página Web"='03.Muestra'!$D$8:$D$42,ROW('03.Muestra'!$C$8:$C$42)-MIN(ROW('03.Muestra'!$D$8:$D$42))+1,""),ROW()-1158)),"")</f>
        <v/>
      </c>
      <c r="C1168" s="85" t="str" cm="1">
        <f t="array" ref="C1168">IFERROR(INDEX('03.Muestra'!$F$8:$F$42,SMALL(IF("Página Web"='03.Muestra'!$D$8:$D$42,ROW('03.Muestra'!$F$8:$F$42)-MIN(ROW('03.Muestra'!$D$8:$D$42))+1,""),ROW()-1158)),"")</f>
        <v/>
      </c>
      <c r="D1168" s="99" t="str">
        <f t="shared" ref="D1168:D1193" si="61">IF(AND(B1168&lt;&gt;"",C1168&lt;&gt;""),"N/T","")</f>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t="str" cm="1">
        <f t="array" ref="A1169">IFERROR(INDEX('03.Muestra'!$B$8:$B$42,SMALL(IF("Página Web"='03.Muestra'!$D$8:$D$42,ROW('03.Muestra'!$B$8:$B$42)-MIN(ROW('03.Muestra'!$D$8:$D$42))+1,""),ROW()-1158)),"")</f>
        <v/>
      </c>
      <c r="B1169" s="85" t="str" cm="1">
        <f t="array" ref="B1169">IFERROR(INDEX('03.Muestra'!$C$8:$C$42,SMALL(IF("Página Web"='03.Muestra'!$D$8:$D$42,ROW('03.Muestra'!$C$8:$C$42)-MIN(ROW('03.Muestra'!$D$8:$D$42))+1,""),ROW()-1158)),"")</f>
        <v/>
      </c>
      <c r="C1169" s="85" t="str" cm="1">
        <f t="array" ref="C1169">IFERROR(INDEX('03.Muestra'!$F$8:$F$42,SMALL(IF("Página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Home</v>
      </c>
      <c r="C1197" s="85" t="str" cm="1">
        <f t="array" ref="C1197">IFERROR(INDEX('03.Muestra'!$F$8:$F$42,SMALL(IF("Página Web"='03.Muestra'!$D$8:$D$42,ROW('03.Muestra'!$F$8:$F$42)-MIN(ROW('03.Muestra'!$D$8:$D$42))+1,""),ROW()-1196)),"")</f>
        <v>https://www.comunidad.madrid/hospital/12octubre/</v>
      </c>
      <c r="D1197" s="99" t="s">
        <v>92</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Ciudadanos</v>
      </c>
      <c r="C1198" s="85" t="str" cm="1">
        <f t="array" ref="C1198">IFERROR(INDEX('03.Muestra'!$F$8:$F$42,SMALL(IF("Página Web"='03.Muestra'!$D$8:$D$42,ROW('03.Muestra'!$F$8:$F$42)-MIN(ROW('03.Muestra'!$D$8:$D$42))+1,""),ROW()-1196)),"")</f>
        <v>https://www.comunidad.madrid/hospital/12octubre/ciudadanos</v>
      </c>
      <c r="D1198" s="99" t="s">
        <v>92</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9</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Profesionales</v>
      </c>
      <c r="C1199" s="85" t="str" cm="1">
        <f t="array" ref="C1199">IFERROR(INDEX('03.Muestra'!$F$8:$F$42,SMALL(IF("Página Web"='03.Muestra'!$D$8:$D$42,ROW('03.Muestra'!$F$8:$F$42)-MIN(ROW('03.Muestra'!$D$8:$D$42))+1,""),ROW()-1196)),"")</f>
        <v>https://www.comunidad.madrid/hospital/12octubre/profesionales</v>
      </c>
      <c r="D1199" s="99" t="s">
        <v>92</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Comunicación</v>
      </c>
      <c r="C1200" s="85" t="str" cm="1">
        <f t="array" ref="C1200">IFERROR(INDEX('03.Muestra'!$F$8:$F$42,SMALL(IF("Página Web"='03.Muestra'!$D$8:$D$42,ROW('03.Muestra'!$F$8:$F$42)-MIN(ROW('03.Muestra'!$D$8:$D$42))+1,""),ROW()-1196)),"")</f>
        <v>https://www.comunidad.madrid/hospital/12octubre/comunicación</v>
      </c>
      <c r="D1200" s="99" t="s">
        <v>92</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Nosotros</v>
      </c>
      <c r="C1201" s="85" t="str" cm="1">
        <f t="array" ref="C1201">IFERROR(INDEX('03.Muestra'!$F$8:$F$42,SMALL(IF("Página Web"='03.Muestra'!$D$8:$D$42,ROW('03.Muestra'!$F$8:$F$42)-MIN(ROW('03.Muestra'!$D$8:$D$42))+1,""),ROW()-1196)),"")</f>
        <v>https://www.comunidad.madrid/hospital/12octubre/nosotros</v>
      </c>
      <c r="D1201" s="99" t="s">
        <v>92</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Centros de especialidades</v>
      </c>
      <c r="C1202" s="85" t="str" cm="1">
        <f t="array" ref="C1202">IFERROR(INDEX('03.Muestra'!$F$8:$F$42,SMALL(IF("Página Web"='03.Muestra'!$D$8:$D$42,ROW('03.Muestra'!$F$8:$F$42)-MIN(ROW('03.Muestra'!$D$8:$D$42))+1,""),ROW()-1196)),"")</f>
        <v>https://www.comunidad.madrid/hospital/12octubre/nosotros/centros-especialidades-perifericos</v>
      </c>
      <c r="D1202" s="99" t="s">
        <v>92</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Canal solidario</v>
      </c>
      <c r="C1203" s="85" t="str" cm="1">
        <f t="array" ref="C1203">IFERROR(INDEX('03.Muestra'!$F$8:$F$42,SMALL(IF("Página Web"='03.Muestra'!$D$8:$D$42,ROW('03.Muestra'!$F$8:$F$42)-MIN(ROW('03.Muestra'!$D$8:$D$42))+1,""),ROW()-1196)),"")</f>
        <v>https://www.comunidad.madrid/hospital/12octubre/ciudadanos/canal-solidario</v>
      </c>
      <c r="D1203" s="99" t="s">
        <v>92</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Aniversario</v>
      </c>
      <c r="C1204" s="85" t="str" cm="1">
        <f t="array" ref="C1204">IFERROR(INDEX('03.Muestra'!$F$8:$F$42,SMALL(IF("Página Web"='03.Muestra'!$D$8:$D$42,ROW('03.Muestra'!$F$8:$F$42)-MIN(ROW('03.Muestra'!$D$8:$D$42))+1,""),ROW()-1196)),"")</f>
        <v>https://www.comunidad.madrid/hospital/12octubre/50-aniversario</v>
      </c>
      <c r="D1204" s="99" t="s">
        <v>92</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Accesibilidad</v>
      </c>
      <c r="C1205" s="85" t="str" cm="1">
        <f t="array" ref="C1205">IFERROR(INDEX('03.Muestra'!$F$8:$F$42,SMALL(IF("Página Web"='03.Muestra'!$D$8:$D$42,ROW('03.Muestra'!$F$8:$F$42)-MIN(ROW('03.Muestra'!$D$8:$D$42))+1,""),ROW()-1196)),"")</f>
        <v>https://www.comunidad.madrid/hospital/12octubre/declaracion-accesibilidad</v>
      </c>
      <c r="D1205" s="99" t="s">
        <v>92</v>
      </c>
      <c r="E1205" s="79" t="str">
        <f t="shared" si="62"/>
        <v/>
      </c>
      <c r="F1205" s="18"/>
      <c r="G1205" s="18"/>
      <c r="H1205" s="18"/>
      <c r="I1205" s="18"/>
      <c r="J1205" s="18"/>
      <c r="K1205" s="184"/>
      <c r="L1205" s="18"/>
    </row>
    <row r="1206" spans="1:12" ht="12" customHeight="1">
      <c r="A1206" s="39" t="str" cm="1">
        <f t="array" ref="A1206">IFERROR(INDEX('03.Muestra'!$B$8:$B$42,SMALL(IF("Página Web"='03.Muestra'!$D$8:$D$42,ROW('03.Muestra'!$B$8:$B$42)-MIN(ROW('03.Muestra'!$D$8:$D$42))+1,""),ROW()-1196)),"")</f>
        <v/>
      </c>
      <c r="B1206" s="85" t="str" cm="1">
        <f t="array" ref="B1206">IFERROR(INDEX('03.Muestra'!$C$8:$C$42,SMALL(IF("Página Web"='03.Muestra'!$D$8:$D$42,ROW('03.Muestra'!$C$8:$C$42)-MIN(ROW('03.Muestra'!$D$8:$D$42))+1,""),ROW()-1196)),"")</f>
        <v/>
      </c>
      <c r="C1206" s="85" t="str" cm="1">
        <f t="array" ref="C1206">IFERROR(INDEX('03.Muestra'!$F$8:$F$42,SMALL(IF("Página Web"='03.Muestra'!$D$8:$D$42,ROW('03.Muestra'!$F$8:$F$42)-MIN(ROW('03.Muestra'!$D$8:$D$42))+1,""),ROW()-1196)),"")</f>
        <v/>
      </c>
      <c r="D1206" s="99" t="str">
        <f t="shared" ref="D1206:D1231" si="63">IF(AND(B1206&lt;&gt;"",C1206&lt;&gt;""),"N/T","")</f>
        <v/>
      </c>
      <c r="E1206" s="79" t="str">
        <f t="shared" si="62"/>
        <v/>
      </c>
      <c r="F1206" s="18"/>
      <c r="G1206" s="18"/>
      <c r="H1206" s="18"/>
      <c r="I1206" s="18"/>
      <c r="J1206" s="18"/>
      <c r="K1206" s="184"/>
      <c r="L1206" s="18"/>
    </row>
    <row r="1207" spans="1:12" ht="12" customHeight="1">
      <c r="A1207" s="39" t="str" cm="1">
        <f t="array" ref="A1207">IFERROR(INDEX('03.Muestra'!$B$8:$B$42,SMALL(IF("Página Web"='03.Muestra'!$D$8:$D$42,ROW('03.Muestra'!$B$8:$B$42)-MIN(ROW('03.Muestra'!$D$8:$D$42))+1,""),ROW()-1196)),"")</f>
        <v/>
      </c>
      <c r="B1207" s="85" t="str" cm="1">
        <f t="array" ref="B1207">IFERROR(INDEX('03.Muestra'!$C$8:$C$42,SMALL(IF("Página Web"='03.Muestra'!$D$8:$D$42,ROW('03.Muestra'!$C$8:$C$42)-MIN(ROW('03.Muestra'!$D$8:$D$42))+1,""),ROW()-1196)),"")</f>
        <v/>
      </c>
      <c r="C1207" s="85" t="str" cm="1">
        <f t="array" ref="C1207">IFERROR(INDEX('03.Muestra'!$F$8:$F$42,SMALL(IF("Página Web"='03.Muestra'!$D$8:$D$42,ROW('03.Muestra'!$F$8:$F$42)-MIN(ROW('03.Muestra'!$D$8:$D$42))+1,""),ROW()-1196)),"")</f>
        <v/>
      </c>
      <c r="D1207" s="99" t="str">
        <f t="shared" si="63"/>
        <v/>
      </c>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si="63"/>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Home</v>
      </c>
      <c r="C1235" s="85" t="str" cm="1">
        <f t="array" ref="C1235">IFERROR(INDEX('03.Muestra'!$F$8:$F$42,SMALL(IF("Página Web"='03.Muestra'!$D$8:$D$42,ROW('03.Muestra'!$F$8:$F$42)-MIN(ROW('03.Muestra'!$D$8:$D$42))+1,""),ROW()-1234)),"")</f>
        <v>https://www.comunidad.madrid/hospital/12octubre/</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Ciudadanos</v>
      </c>
      <c r="C1236" s="85" t="str" cm="1">
        <f t="array" ref="C1236">IFERROR(INDEX('03.Muestra'!$F$8:$F$42,SMALL(IF("Página Web"='03.Muestra'!$D$8:$D$42,ROW('03.Muestra'!$F$8:$F$42)-MIN(ROW('03.Muestra'!$D$8:$D$42))+1,""),ROW()-1234)),"")</f>
        <v>https://www.comunidad.madrid/hospital/12octubre/ciudadanos</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9</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Profesionales</v>
      </c>
      <c r="C1237" s="85" t="str" cm="1">
        <f t="array" ref="C1237">IFERROR(INDEX('03.Muestra'!$F$8:$F$42,SMALL(IF("Página Web"='03.Muestra'!$D$8:$D$42,ROW('03.Muestra'!$F$8:$F$42)-MIN(ROW('03.Muestra'!$D$8:$D$42))+1,""),ROW()-1234)),"")</f>
        <v>https://www.comunidad.madrid/hospital/12octubre/profesionales</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Comunicación</v>
      </c>
      <c r="C1238" s="85" t="str" cm="1">
        <f t="array" ref="C1238">IFERROR(INDEX('03.Muestra'!$F$8:$F$42,SMALL(IF("Página Web"='03.Muestra'!$D$8:$D$42,ROW('03.Muestra'!$F$8:$F$42)-MIN(ROW('03.Muestra'!$D$8:$D$42))+1,""),ROW()-1234)),"")</f>
        <v>https://www.comunidad.madrid/hospital/12octubre/comunicación</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Nosotros</v>
      </c>
      <c r="C1239" s="85" t="str" cm="1">
        <f t="array" ref="C1239">IFERROR(INDEX('03.Muestra'!$F$8:$F$42,SMALL(IF("Página Web"='03.Muestra'!$D$8:$D$42,ROW('03.Muestra'!$F$8:$F$42)-MIN(ROW('03.Muestra'!$D$8:$D$42))+1,""),ROW()-1234)),"")</f>
        <v>https://www.comunidad.madrid/hospital/12octubre/nosotros</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Centros de especialidades</v>
      </c>
      <c r="C1240" s="85" t="str" cm="1">
        <f t="array" ref="C1240">IFERROR(INDEX('03.Muestra'!$F$8:$F$42,SMALL(IF("Página Web"='03.Muestra'!$D$8:$D$42,ROW('03.Muestra'!$F$8:$F$42)-MIN(ROW('03.Muestra'!$D$8:$D$42))+1,""),ROW()-1234)),"")</f>
        <v>https://www.comunidad.madrid/hospital/12octubre/nosotros/centros-especialidades-perifericos</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Canal solidario</v>
      </c>
      <c r="C1241" s="85" t="str" cm="1">
        <f t="array" ref="C1241">IFERROR(INDEX('03.Muestra'!$F$8:$F$42,SMALL(IF("Página Web"='03.Muestra'!$D$8:$D$42,ROW('03.Muestra'!$F$8:$F$42)-MIN(ROW('03.Muestra'!$D$8:$D$42))+1,""),ROW()-1234)),"")</f>
        <v>https://www.comunidad.madrid/hospital/12octubre/ciudadanos/canal-solidario</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Aniversario</v>
      </c>
      <c r="C1242" s="85" t="str" cm="1">
        <f t="array" ref="C1242">IFERROR(INDEX('03.Muestra'!$F$8:$F$42,SMALL(IF("Página Web"='03.Muestra'!$D$8:$D$42,ROW('03.Muestra'!$F$8:$F$42)-MIN(ROW('03.Muestra'!$D$8:$D$42))+1,""),ROW()-1234)),"")</f>
        <v>https://www.comunidad.madrid/hospital/12octubre/50-aniversario</v>
      </c>
      <c r="D1242" s="99" t="s">
        <v>104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Accesibilidad</v>
      </c>
      <c r="C1243" s="85" t="str" cm="1">
        <f t="array" ref="C1243">IFERROR(INDEX('03.Muestra'!$F$8:$F$42,SMALL(IF("Página Web"='03.Muestra'!$D$8:$D$42,ROW('03.Muestra'!$F$8:$F$42)-MIN(ROW('03.Muestra'!$D$8:$D$42))+1,""),ROW()-1234)),"")</f>
        <v>https://www.comunidad.madrid/hospital/12octubre/declaracion-accesibilidad</v>
      </c>
      <c r="D1243" s="99" t="s">
        <v>104</v>
      </c>
      <c r="E1243" s="79" t="str">
        <f t="shared" si="64"/>
        <v/>
      </c>
      <c r="F1243" s="18"/>
      <c r="G1243" s="18"/>
      <c r="H1243" s="18"/>
      <c r="I1243" s="18"/>
      <c r="J1243" s="18"/>
      <c r="K1243" s="184"/>
      <c r="L1243" s="18"/>
    </row>
    <row r="1244" spans="1:12" ht="12" customHeight="1">
      <c r="A1244" s="39" t="str" cm="1">
        <f t="array" ref="A1244">IFERROR(INDEX('03.Muestra'!$B$8:$B$42,SMALL(IF("Página Web"='03.Muestra'!$D$8:$D$42,ROW('03.Muestra'!$B$8:$B$42)-MIN(ROW('03.Muestra'!$D$8:$D$42))+1,""),ROW()-1234)),"")</f>
        <v/>
      </c>
      <c r="B1244" s="85" t="str" cm="1">
        <f t="array" ref="B1244">IFERROR(INDEX('03.Muestra'!$C$8:$C$42,SMALL(IF("Página Web"='03.Muestra'!$D$8:$D$42,ROW('03.Muestra'!$C$8:$C$42)-MIN(ROW('03.Muestra'!$D$8:$D$42))+1,""),ROW()-1234)),"")</f>
        <v/>
      </c>
      <c r="C1244" s="85" t="str" cm="1">
        <f t="array" ref="C1244">IFERROR(INDEX('03.Muestra'!$F$8:$F$42,SMALL(IF("Página Web"='03.Muestra'!$D$8:$D$42,ROW('03.Muestra'!$F$8:$F$42)-MIN(ROW('03.Muestra'!$D$8:$D$42))+1,""),ROW()-1234)),"")</f>
        <v/>
      </c>
      <c r="D1244" s="99" t="str">
        <f t="shared" ref="D1244:D1269" si="65">IF(AND(B1244&lt;&gt;"",C1244&lt;&gt;""),"N/T","")</f>
        <v/>
      </c>
      <c r="E1244" s="79" t="str">
        <f t="shared" si="64"/>
        <v/>
      </c>
      <c r="F1244" s="18"/>
      <c r="G1244" s="18"/>
      <c r="H1244" s="18"/>
      <c r="I1244" s="18"/>
      <c r="J1244" s="18"/>
      <c r="K1244" s="184"/>
      <c r="L1244" s="18"/>
    </row>
    <row r="1245" spans="1:12" ht="12" customHeight="1">
      <c r="A1245" s="39" t="str" cm="1">
        <f t="array" ref="A1245">IFERROR(INDEX('03.Muestra'!$B$8:$B$42,SMALL(IF("Página Web"='03.Muestra'!$D$8:$D$42,ROW('03.Muestra'!$B$8:$B$42)-MIN(ROW('03.Muestra'!$D$8:$D$42))+1,""),ROW()-1234)),"")</f>
        <v/>
      </c>
      <c r="B1245" s="85" t="str" cm="1">
        <f t="array" ref="B1245">IFERROR(INDEX('03.Muestra'!$C$8:$C$42,SMALL(IF("Página Web"='03.Muestra'!$D$8:$D$42,ROW('03.Muestra'!$C$8:$C$42)-MIN(ROW('03.Muestra'!$D$8:$D$42))+1,""),ROW()-1234)),"")</f>
        <v/>
      </c>
      <c r="C1245" s="85" t="str" cm="1">
        <f t="array" ref="C1245">IFERROR(INDEX('03.Muestra'!$F$8:$F$42,SMALL(IF("Página Web"='03.Muestra'!$D$8:$D$42,ROW('03.Muestra'!$F$8:$F$42)-MIN(ROW('03.Muestra'!$D$8:$D$42))+1,""),ROW()-1234)),"")</f>
        <v/>
      </c>
      <c r="D1245" s="99" t="str">
        <f t="shared" si="65"/>
        <v/>
      </c>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si="65"/>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Home</v>
      </c>
      <c r="C1273" s="85" t="str" cm="1">
        <f t="array" ref="C1273">IFERROR(INDEX('03.Muestra'!$F$8:$F$42,SMALL(IF("Página Web"='03.Muestra'!$D$8:$D$42,ROW('03.Muestra'!$F$8:$F$42)-MIN(ROW('03.Muestra'!$D$8:$D$42))+1,""),ROW()-1272)),"")</f>
        <v>https://www.comunidad.madrid/hospital/12octubre/</v>
      </c>
      <c r="D1273" s="99" t="s">
        <v>104</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Ciudadanos</v>
      </c>
      <c r="C1274" s="85" t="str" cm="1">
        <f t="array" ref="C1274">IFERROR(INDEX('03.Muestra'!$F$8:$F$42,SMALL(IF("Página Web"='03.Muestra'!$D$8:$D$42,ROW('03.Muestra'!$F$8:$F$42)-MIN(ROW('03.Muestra'!$D$8:$D$42))+1,""),ROW()-1272)),"")</f>
        <v>https://www.comunidad.madrid/hospital/12octubre/ciudadanos</v>
      </c>
      <c r="D1274" s="99" t="s">
        <v>104</v>
      </c>
      <c r="E1274" s="79" t="str">
        <f t="shared" si="66"/>
        <v/>
      </c>
      <c r="F1274" s="91">
        <f ca="1">COUNTIF($D1273:INDIRECT("$D" &amp;  SUM(ROW()-1,'03.Muestra'!$D$45)-1),F1273)</f>
        <v>0</v>
      </c>
      <c r="G1274" s="91">
        <f ca="1">COUNTIF($D1273:INDIRECT("$D" &amp;  SUM(ROW()-1,'03.Muestra'!$D$45)-1),G1273)</f>
        <v>0</v>
      </c>
      <c r="H1274" s="91">
        <f ca="1">COUNTIF($D1273:INDIRECT("$D" &amp;  SUM(ROW()-1,'03.Muestra'!$D$45)-1),H1273)</f>
        <v>9</v>
      </c>
      <c r="I1274" s="91">
        <f ca="1">COUNTIF($D1273:INDIRECT("$D" &amp;  SUM(ROW()-1,'03.Muestra'!$D$45)-1),I1273)</f>
        <v>0</v>
      </c>
      <c r="J1274" s="91">
        <f ca="1">COUNTIF($D1273:INDIRECT("$D" &amp;  SUM(ROW()-1,'03.Muestra'!$D$45)-1),J1273)</f>
        <v>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Profesionales</v>
      </c>
      <c r="C1275" s="85" t="str" cm="1">
        <f t="array" ref="C1275">IFERROR(INDEX('03.Muestra'!$F$8:$F$42,SMALL(IF("Página Web"='03.Muestra'!$D$8:$D$42,ROW('03.Muestra'!$F$8:$F$42)-MIN(ROW('03.Muestra'!$D$8:$D$42))+1,""),ROW()-1272)),"")</f>
        <v>https://www.comunidad.madrid/hospital/12octubre/profesionales</v>
      </c>
      <c r="D1275" s="99" t="s">
        <v>104</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Comunicación</v>
      </c>
      <c r="C1276" s="85" t="str" cm="1">
        <f t="array" ref="C1276">IFERROR(INDEX('03.Muestra'!$F$8:$F$42,SMALL(IF("Página Web"='03.Muestra'!$D$8:$D$42,ROW('03.Muestra'!$F$8:$F$42)-MIN(ROW('03.Muestra'!$D$8:$D$42))+1,""),ROW()-1272)),"")</f>
        <v>https://www.comunidad.madrid/hospital/12octubre/comunicación</v>
      </c>
      <c r="D1276" s="99" t="s">
        <v>104</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Nosotros</v>
      </c>
      <c r="C1277" s="85" t="str" cm="1">
        <f t="array" ref="C1277">IFERROR(INDEX('03.Muestra'!$F$8:$F$42,SMALL(IF("Página Web"='03.Muestra'!$D$8:$D$42,ROW('03.Muestra'!$F$8:$F$42)-MIN(ROW('03.Muestra'!$D$8:$D$42))+1,""),ROW()-1272)),"")</f>
        <v>https://www.comunidad.madrid/hospital/12octubre/nosotros</v>
      </c>
      <c r="D1277" s="99" t="s">
        <v>104</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Centros de especialidades</v>
      </c>
      <c r="C1278" s="85" t="str" cm="1">
        <f t="array" ref="C1278">IFERROR(INDEX('03.Muestra'!$F$8:$F$42,SMALL(IF("Página Web"='03.Muestra'!$D$8:$D$42,ROW('03.Muestra'!$F$8:$F$42)-MIN(ROW('03.Muestra'!$D$8:$D$42))+1,""),ROW()-1272)),"")</f>
        <v>https://www.comunidad.madrid/hospital/12octubre/nosotros/centros-especialidades-perifericos</v>
      </c>
      <c r="D1278" s="99" t="s">
        <v>104</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Canal solidario</v>
      </c>
      <c r="C1279" s="85" t="str" cm="1">
        <f t="array" ref="C1279">IFERROR(INDEX('03.Muestra'!$F$8:$F$42,SMALL(IF("Página Web"='03.Muestra'!$D$8:$D$42,ROW('03.Muestra'!$F$8:$F$42)-MIN(ROW('03.Muestra'!$D$8:$D$42))+1,""),ROW()-1272)),"")</f>
        <v>https://www.comunidad.madrid/hospital/12octubre/ciudadanos/canal-solidario</v>
      </c>
      <c r="D1279" s="99" t="s">
        <v>104</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Aniversario</v>
      </c>
      <c r="C1280" s="85" t="str" cm="1">
        <f t="array" ref="C1280">IFERROR(INDEX('03.Muestra'!$F$8:$F$42,SMALL(IF("Página Web"='03.Muestra'!$D$8:$D$42,ROW('03.Muestra'!$F$8:$F$42)-MIN(ROW('03.Muestra'!$D$8:$D$42))+1,""),ROW()-1272)),"")</f>
        <v>https://www.comunidad.madrid/hospital/12octubre/50-aniversario</v>
      </c>
      <c r="D1280" s="99" t="s">
        <v>104</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Accesibilidad</v>
      </c>
      <c r="C1281" s="85" t="str" cm="1">
        <f t="array" ref="C1281">IFERROR(INDEX('03.Muestra'!$F$8:$F$42,SMALL(IF("Página Web"='03.Muestra'!$D$8:$D$42,ROW('03.Muestra'!$F$8:$F$42)-MIN(ROW('03.Muestra'!$D$8:$D$42))+1,""),ROW()-1272)),"")</f>
        <v>https://www.comunidad.madrid/hospital/12octubre/declaracion-accesibilidad</v>
      </c>
      <c r="D1281" s="99" t="s">
        <v>104</v>
      </c>
      <c r="E1281" s="79" t="str">
        <f t="shared" si="66"/>
        <v/>
      </c>
      <c r="F1281" s="18"/>
      <c r="G1281" s="18"/>
      <c r="H1281" s="18"/>
      <c r="I1281" s="18"/>
      <c r="J1281" s="18"/>
      <c r="K1281" s="184"/>
      <c r="L1281" s="18"/>
    </row>
    <row r="1282" spans="1:12" ht="12" customHeight="1">
      <c r="A1282" s="39" t="str" cm="1">
        <f t="array" ref="A1282">IFERROR(INDEX('03.Muestra'!$B$8:$B$42,SMALL(IF("Página Web"='03.Muestra'!$D$8:$D$42,ROW('03.Muestra'!$B$8:$B$42)-MIN(ROW('03.Muestra'!$D$8:$D$42))+1,""),ROW()-1272)),"")</f>
        <v/>
      </c>
      <c r="B1282" s="85" t="str" cm="1">
        <f t="array" ref="B1282">IFERROR(INDEX('03.Muestra'!$C$8:$C$42,SMALL(IF("Página Web"='03.Muestra'!$D$8:$D$42,ROW('03.Muestra'!$C$8:$C$42)-MIN(ROW('03.Muestra'!$D$8:$D$42))+1,""),ROW()-1272)),"")</f>
        <v/>
      </c>
      <c r="C1282" s="85" t="str" cm="1">
        <f t="array" ref="C1282">IFERROR(INDEX('03.Muestra'!$F$8:$F$42,SMALL(IF("Página Web"='03.Muestra'!$D$8:$D$42,ROW('03.Muestra'!$F$8:$F$42)-MIN(ROW('03.Muestra'!$D$8:$D$42))+1,""),ROW()-1272)),"")</f>
        <v/>
      </c>
      <c r="D1282" s="99" t="str">
        <f t="shared" ref="D1282:D1307" si="67">IF(AND(B1282&lt;&gt;"",C1282&lt;&gt;""),"N/T","")</f>
        <v/>
      </c>
      <c r="E1282" s="79" t="str">
        <f t="shared" si="66"/>
        <v/>
      </c>
      <c r="F1282" s="18"/>
      <c r="G1282" s="18"/>
      <c r="H1282" s="18"/>
      <c r="I1282" s="18"/>
      <c r="J1282" s="18"/>
      <c r="K1282" s="184"/>
      <c r="L1282" s="18"/>
    </row>
    <row r="1283" spans="1:12" ht="12" customHeight="1">
      <c r="A1283" s="39" t="str" cm="1">
        <f t="array" ref="A1283">IFERROR(INDEX('03.Muestra'!$B$8:$B$42,SMALL(IF("Página Web"='03.Muestra'!$D$8:$D$42,ROW('03.Muestra'!$B$8:$B$42)-MIN(ROW('03.Muestra'!$D$8:$D$42))+1,""),ROW()-1272)),"")</f>
        <v/>
      </c>
      <c r="B1283" s="85" t="str" cm="1">
        <f t="array" ref="B1283">IFERROR(INDEX('03.Muestra'!$C$8:$C$42,SMALL(IF("Página Web"='03.Muestra'!$D$8:$D$42,ROW('03.Muestra'!$C$8:$C$42)-MIN(ROW('03.Muestra'!$D$8:$D$42))+1,""),ROW()-1272)),"")</f>
        <v/>
      </c>
      <c r="C1283" s="85" t="str" cm="1">
        <f t="array" ref="C1283">IFERROR(INDEX('03.Muestra'!$F$8:$F$42,SMALL(IF("Página Web"='03.Muestra'!$D$8:$D$42,ROW('03.Muestra'!$F$8:$F$42)-MIN(ROW('03.Muestra'!$D$8:$D$42))+1,""),ROW()-1272)),"")</f>
        <v/>
      </c>
      <c r="D1283" s="99" t="str">
        <f t="shared" si="67"/>
        <v/>
      </c>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si="67"/>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Home</v>
      </c>
      <c r="C1311" s="85" t="str" cm="1">
        <f t="array" ref="C1311">IFERROR(INDEX('03.Muestra'!$F$8:$F$42,SMALL(IF("Página Web"='03.Muestra'!$D$8:$D$42,ROW('03.Muestra'!$F$8:$F$42)-MIN(ROW('03.Muestra'!$D$8:$D$42))+1,""),ROW()-1310)),"")</f>
        <v>https://www.comunidad.madrid/hospital/12octubre/</v>
      </c>
      <c r="D1311" s="99" t="s">
        <v>92</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Ciudadanos</v>
      </c>
      <c r="C1312" s="85" t="str" cm="1">
        <f t="array" ref="C1312">IFERROR(INDEX('03.Muestra'!$F$8:$F$42,SMALL(IF("Página Web"='03.Muestra'!$D$8:$D$42,ROW('03.Muestra'!$F$8:$F$42)-MIN(ROW('03.Muestra'!$D$8:$D$42))+1,""),ROW()-1310)),"")</f>
        <v>https://www.comunidad.madrid/hospital/12octubre/ciudadanos</v>
      </c>
      <c r="D1312" s="99" t="s">
        <v>92</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9</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Profesionales</v>
      </c>
      <c r="C1313" s="85" t="str" cm="1">
        <f t="array" ref="C1313">IFERROR(INDEX('03.Muestra'!$F$8:$F$42,SMALL(IF("Página Web"='03.Muestra'!$D$8:$D$42,ROW('03.Muestra'!$F$8:$F$42)-MIN(ROW('03.Muestra'!$D$8:$D$42))+1,""),ROW()-1310)),"")</f>
        <v>https://www.comunidad.madrid/hospital/12octubre/profesionales</v>
      </c>
      <c r="D1313" s="99" t="s">
        <v>92</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Comunicación</v>
      </c>
      <c r="C1314" s="85" t="str" cm="1">
        <f t="array" ref="C1314">IFERROR(INDEX('03.Muestra'!$F$8:$F$42,SMALL(IF("Página Web"='03.Muestra'!$D$8:$D$42,ROW('03.Muestra'!$F$8:$F$42)-MIN(ROW('03.Muestra'!$D$8:$D$42))+1,""),ROW()-1310)),"")</f>
        <v>https://www.comunidad.madrid/hospital/12octubre/comunicación</v>
      </c>
      <c r="D1314" s="99" t="s">
        <v>92</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Nosotros</v>
      </c>
      <c r="C1315" s="85" t="str" cm="1">
        <f t="array" ref="C1315">IFERROR(INDEX('03.Muestra'!$F$8:$F$42,SMALL(IF("Página Web"='03.Muestra'!$D$8:$D$42,ROW('03.Muestra'!$F$8:$F$42)-MIN(ROW('03.Muestra'!$D$8:$D$42))+1,""),ROW()-1310)),"")</f>
        <v>https://www.comunidad.madrid/hospital/12octubre/nosotros</v>
      </c>
      <c r="D1315" s="99" t="s">
        <v>92</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Centros de especialidades</v>
      </c>
      <c r="C1316" s="85" t="str" cm="1">
        <f t="array" ref="C1316">IFERROR(INDEX('03.Muestra'!$F$8:$F$42,SMALL(IF("Página Web"='03.Muestra'!$D$8:$D$42,ROW('03.Muestra'!$F$8:$F$42)-MIN(ROW('03.Muestra'!$D$8:$D$42))+1,""),ROW()-1310)),"")</f>
        <v>https://www.comunidad.madrid/hospital/12octubre/nosotros/centros-especialidades-perifericos</v>
      </c>
      <c r="D1316" s="99" t="s">
        <v>92</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Canal solidario</v>
      </c>
      <c r="C1317" s="85" t="str" cm="1">
        <f t="array" ref="C1317">IFERROR(INDEX('03.Muestra'!$F$8:$F$42,SMALL(IF("Página Web"='03.Muestra'!$D$8:$D$42,ROW('03.Muestra'!$F$8:$F$42)-MIN(ROW('03.Muestra'!$D$8:$D$42))+1,""),ROW()-1310)),"")</f>
        <v>https://www.comunidad.madrid/hospital/12octubre/ciudadanos/canal-solidario</v>
      </c>
      <c r="D1317" s="99" t="s">
        <v>92</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Aniversario</v>
      </c>
      <c r="C1318" s="85" t="str" cm="1">
        <f t="array" ref="C1318">IFERROR(INDEX('03.Muestra'!$F$8:$F$42,SMALL(IF("Página Web"='03.Muestra'!$D$8:$D$42,ROW('03.Muestra'!$F$8:$F$42)-MIN(ROW('03.Muestra'!$D$8:$D$42))+1,""),ROW()-1310)),"")</f>
        <v>https://www.comunidad.madrid/hospital/12octubre/50-aniversario</v>
      </c>
      <c r="D1318" s="99" t="s">
        <v>92</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Accesibilidad</v>
      </c>
      <c r="C1319" s="85" t="str" cm="1">
        <f t="array" ref="C1319">IFERROR(INDEX('03.Muestra'!$F$8:$F$42,SMALL(IF("Página Web"='03.Muestra'!$D$8:$D$42,ROW('03.Muestra'!$F$8:$F$42)-MIN(ROW('03.Muestra'!$D$8:$D$42))+1,""),ROW()-1310)),"")</f>
        <v>https://www.comunidad.madrid/hospital/12octubre/declaracion-accesibilidad</v>
      </c>
      <c r="D1319" s="99" t="s">
        <v>92</v>
      </c>
      <c r="E1319" s="79" t="str">
        <f t="shared" si="68"/>
        <v/>
      </c>
      <c r="F1319" s="18"/>
      <c r="G1319" s="18"/>
      <c r="H1319" s="18"/>
      <c r="I1319" s="18"/>
      <c r="J1319" s="18"/>
      <c r="K1319" s="184"/>
      <c r="L1319" s="18"/>
    </row>
    <row r="1320" spans="1:12" ht="12" customHeight="1">
      <c r="A1320" s="39" t="str" cm="1">
        <f t="array" ref="A1320">IFERROR(INDEX('03.Muestra'!$B$8:$B$42,SMALL(IF("Página Web"='03.Muestra'!$D$8:$D$42,ROW('03.Muestra'!$B$8:$B$42)-MIN(ROW('03.Muestra'!$D$8:$D$42))+1,""),ROW()-1310)),"")</f>
        <v/>
      </c>
      <c r="B1320" s="85" t="str" cm="1">
        <f t="array" ref="B1320">IFERROR(INDEX('03.Muestra'!$C$8:$C$42,SMALL(IF("Página Web"='03.Muestra'!$D$8:$D$42,ROW('03.Muestra'!$C$8:$C$42)-MIN(ROW('03.Muestra'!$D$8:$D$42))+1,""),ROW()-1310)),"")</f>
        <v/>
      </c>
      <c r="C1320" s="85" t="str" cm="1">
        <f t="array" ref="C1320">IFERROR(INDEX('03.Muestra'!$F$8:$F$42,SMALL(IF("Página Web"='03.Muestra'!$D$8:$D$42,ROW('03.Muestra'!$F$8:$F$42)-MIN(ROW('03.Muestra'!$D$8:$D$42))+1,""),ROW()-1310)),"")</f>
        <v/>
      </c>
      <c r="D1320" s="99" t="str">
        <f t="shared" ref="D1320:D1345" si="69">IF(AND(B1320&lt;&gt;"",C1320&lt;&gt;""),"N/T","")</f>
        <v/>
      </c>
      <c r="E1320" s="79" t="str">
        <f t="shared" si="68"/>
        <v/>
      </c>
      <c r="F1320" s="18"/>
      <c r="G1320" s="18"/>
      <c r="H1320" s="18"/>
      <c r="I1320" s="18"/>
      <c r="J1320" s="18"/>
      <c r="K1320" s="184"/>
      <c r="L1320" s="18"/>
    </row>
    <row r="1321" spans="1:12" ht="12" customHeight="1">
      <c r="A1321" s="39" t="str" cm="1">
        <f t="array" ref="A1321">IFERROR(INDEX('03.Muestra'!$B$8:$B$42,SMALL(IF("Página Web"='03.Muestra'!$D$8:$D$42,ROW('03.Muestra'!$B$8:$B$42)-MIN(ROW('03.Muestra'!$D$8:$D$42))+1,""),ROW()-1310)),"")</f>
        <v/>
      </c>
      <c r="B1321" s="85" t="str" cm="1">
        <f t="array" ref="B1321">IFERROR(INDEX('03.Muestra'!$C$8:$C$42,SMALL(IF("Página Web"='03.Muestra'!$D$8:$D$42,ROW('03.Muestra'!$C$8:$C$42)-MIN(ROW('03.Muestra'!$D$8:$D$42))+1,""),ROW()-1310)),"")</f>
        <v/>
      </c>
      <c r="C1321" s="85" t="str" cm="1">
        <f t="array" ref="C1321">IFERROR(INDEX('03.Muestra'!$F$8:$F$42,SMALL(IF("Página Web"='03.Muestra'!$D$8:$D$42,ROW('03.Muestra'!$F$8:$F$42)-MIN(ROW('03.Muestra'!$D$8:$D$42))+1,""),ROW()-1310)),"")</f>
        <v/>
      </c>
      <c r="D1321" s="99" t="str">
        <f t="shared" si="69"/>
        <v/>
      </c>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si="69"/>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Home</v>
      </c>
      <c r="C1349" s="85" t="str" cm="1">
        <f t="array" ref="C1349">IFERROR(INDEX('03.Muestra'!$F$8:$F$42,SMALL(IF("Página Web"='03.Muestra'!$D$8:$D$42,ROW('03.Muestra'!$F$8:$F$42)-MIN(ROW('03.Muestra'!$D$8:$D$42))+1,""),ROW()-1348)),"")</f>
        <v>https://www.comunidad.madrid/hospital/12octubre/</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Ciudadanos</v>
      </c>
      <c r="C1350" s="85" t="str" cm="1">
        <f t="array" ref="C1350">IFERROR(INDEX('03.Muestra'!$F$8:$F$42,SMALL(IF("Página Web"='03.Muestra'!$D$8:$D$42,ROW('03.Muestra'!$F$8:$F$42)-MIN(ROW('03.Muestra'!$D$8:$D$42))+1,""),ROW()-1348)),"")</f>
        <v>https://www.comunidad.madrid/hospital/12octubre/ciudadanos</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9</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Profesionales</v>
      </c>
      <c r="C1351" s="85" t="str" cm="1">
        <f t="array" ref="C1351">IFERROR(INDEX('03.Muestra'!$F$8:$F$42,SMALL(IF("Página Web"='03.Muestra'!$D$8:$D$42,ROW('03.Muestra'!$F$8:$F$42)-MIN(ROW('03.Muestra'!$D$8:$D$42))+1,""),ROW()-1348)),"")</f>
        <v>https://www.comunidad.madrid/hospital/12octubre/profesionales</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Comunicación</v>
      </c>
      <c r="C1352" s="85" t="str" cm="1">
        <f t="array" ref="C1352">IFERROR(INDEX('03.Muestra'!$F$8:$F$42,SMALL(IF("Página Web"='03.Muestra'!$D$8:$D$42,ROW('03.Muestra'!$F$8:$F$42)-MIN(ROW('03.Muestra'!$D$8:$D$42))+1,""),ROW()-1348)),"")</f>
        <v>https://www.comunidad.madrid/hospital/12octubre/comunicación</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Nosotros</v>
      </c>
      <c r="C1353" s="85" t="str" cm="1">
        <f t="array" ref="C1353">IFERROR(INDEX('03.Muestra'!$F$8:$F$42,SMALL(IF("Página Web"='03.Muestra'!$D$8:$D$42,ROW('03.Muestra'!$F$8:$F$42)-MIN(ROW('03.Muestra'!$D$8:$D$42))+1,""),ROW()-1348)),"")</f>
        <v>https://www.comunidad.madrid/hospital/12octubre/nosotros</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Centros de especialidades</v>
      </c>
      <c r="C1354" s="85" t="str" cm="1">
        <f t="array" ref="C1354">IFERROR(INDEX('03.Muestra'!$F$8:$F$42,SMALL(IF("Página Web"='03.Muestra'!$D$8:$D$42,ROW('03.Muestra'!$F$8:$F$42)-MIN(ROW('03.Muestra'!$D$8:$D$42))+1,""),ROW()-1348)),"")</f>
        <v>https://www.comunidad.madrid/hospital/12octubre/nosotros/centros-especialidades-perifericos</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Canal solidario</v>
      </c>
      <c r="C1355" s="85" t="str" cm="1">
        <f t="array" ref="C1355">IFERROR(INDEX('03.Muestra'!$F$8:$F$42,SMALL(IF("Página Web"='03.Muestra'!$D$8:$D$42,ROW('03.Muestra'!$F$8:$F$42)-MIN(ROW('03.Muestra'!$D$8:$D$42))+1,""),ROW()-1348)),"")</f>
        <v>https://www.comunidad.madrid/hospital/12octubre/ciudadanos/canal-solidario</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Aniversario</v>
      </c>
      <c r="C1356" s="85" t="str" cm="1">
        <f t="array" ref="C1356">IFERROR(INDEX('03.Muestra'!$F$8:$F$42,SMALL(IF("Página Web"='03.Muestra'!$D$8:$D$42,ROW('03.Muestra'!$F$8:$F$42)-MIN(ROW('03.Muestra'!$D$8:$D$42))+1,""),ROW()-1348)),"")</f>
        <v>https://www.comunidad.madrid/hospital/12octubre/50-aniversario</v>
      </c>
      <c r="D1356" s="99" t="s">
        <v>104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Accesibilidad</v>
      </c>
      <c r="C1357" s="85" t="str" cm="1">
        <f t="array" ref="C1357">IFERROR(INDEX('03.Muestra'!$F$8:$F$42,SMALL(IF("Página Web"='03.Muestra'!$D$8:$D$42,ROW('03.Muestra'!$F$8:$F$42)-MIN(ROW('03.Muestra'!$D$8:$D$42))+1,""),ROW()-1348)),"")</f>
        <v>https://www.comunidad.madrid/hospital/12octubre/declaracion-accesibilidad</v>
      </c>
      <c r="D1357" s="99" t="s">
        <v>104</v>
      </c>
      <c r="E1357" s="79" t="str">
        <f t="shared" si="70"/>
        <v/>
      </c>
      <c r="F1357" s="18"/>
      <c r="G1357" s="18"/>
      <c r="H1357" s="18"/>
      <c r="I1357" s="18"/>
      <c r="J1357" s="18"/>
      <c r="K1357" s="184"/>
      <c r="L1357" s="18"/>
    </row>
    <row r="1358" spans="1:12" ht="12" customHeight="1">
      <c r="A1358" s="39" t="str" cm="1">
        <f t="array" ref="A1358">IFERROR(INDEX('03.Muestra'!$B$8:$B$42,SMALL(IF("Página Web"='03.Muestra'!$D$8:$D$42,ROW('03.Muestra'!$B$8:$B$42)-MIN(ROW('03.Muestra'!$D$8:$D$42))+1,""),ROW()-1348)),"")</f>
        <v/>
      </c>
      <c r="B1358" s="85" t="str" cm="1">
        <f t="array" ref="B1358">IFERROR(INDEX('03.Muestra'!$C$8:$C$42,SMALL(IF("Página Web"='03.Muestra'!$D$8:$D$42,ROW('03.Muestra'!$C$8:$C$42)-MIN(ROW('03.Muestra'!$D$8:$D$42))+1,""),ROW()-1348)),"")</f>
        <v/>
      </c>
      <c r="C1358" s="85" t="str" cm="1">
        <f t="array" ref="C1358">IFERROR(INDEX('03.Muestra'!$F$8:$F$42,SMALL(IF("Página Web"='03.Muestra'!$D$8:$D$42,ROW('03.Muestra'!$F$8:$F$42)-MIN(ROW('03.Muestra'!$D$8:$D$42))+1,""),ROW()-1348)),"")</f>
        <v/>
      </c>
      <c r="D1358" s="99" t="str">
        <f t="shared" ref="D1358:D1383" si="71">IF(AND(B1358&lt;&gt;"",C1358&lt;&gt;""),"N/T","")</f>
        <v/>
      </c>
      <c r="E1358" s="79" t="str">
        <f t="shared" si="70"/>
        <v/>
      </c>
      <c r="F1358" s="18"/>
      <c r="G1358" s="18"/>
      <c r="H1358" s="18"/>
      <c r="I1358" s="18"/>
      <c r="J1358" s="18"/>
      <c r="K1358" s="184"/>
      <c r="L1358" s="18"/>
    </row>
    <row r="1359" spans="1:12" ht="12" customHeight="1">
      <c r="A1359" s="39" t="str" cm="1">
        <f t="array" ref="A1359">IFERROR(INDEX('03.Muestra'!$B$8:$B$42,SMALL(IF("Página Web"='03.Muestra'!$D$8:$D$42,ROW('03.Muestra'!$B$8:$B$42)-MIN(ROW('03.Muestra'!$D$8:$D$42))+1,""),ROW()-1348)),"")</f>
        <v/>
      </c>
      <c r="B1359" s="85" t="str" cm="1">
        <f t="array" ref="B1359">IFERROR(INDEX('03.Muestra'!$C$8:$C$42,SMALL(IF("Página Web"='03.Muestra'!$D$8:$D$42,ROW('03.Muestra'!$C$8:$C$42)-MIN(ROW('03.Muestra'!$D$8:$D$42))+1,""),ROW()-1348)),"")</f>
        <v/>
      </c>
      <c r="C1359" s="85" t="str" cm="1">
        <f t="array" ref="C1359">IFERROR(INDEX('03.Muestra'!$F$8:$F$42,SMALL(IF("Página Web"='03.Muestra'!$D$8:$D$42,ROW('03.Muestra'!$F$8:$F$42)-MIN(ROW('03.Muestra'!$D$8:$D$42))+1,""),ROW()-1348)),"")</f>
        <v/>
      </c>
      <c r="D1359" s="99" t="str">
        <f t="shared" si="71"/>
        <v/>
      </c>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si="71"/>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Home</v>
      </c>
      <c r="C1387" s="85" t="str" cm="1">
        <f t="array" ref="C1387">IFERROR(INDEX('03.Muestra'!$F$8:$F$42,SMALL(IF("Página Web"='03.Muestra'!$D$8:$D$42,ROW('03.Muestra'!$F$8:$F$42)-MIN(ROW('03.Muestra'!$D$8:$D$42))+1,""),ROW()-1386)),"")</f>
        <v>https://www.comunidad.madrid/hospital/12octubre/</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Ciudadanos</v>
      </c>
      <c r="C1388" s="85" t="str" cm="1">
        <f t="array" ref="C1388">IFERROR(INDEX('03.Muestra'!$F$8:$F$42,SMALL(IF("Página Web"='03.Muestra'!$D$8:$D$42,ROW('03.Muestra'!$F$8:$F$42)-MIN(ROW('03.Muestra'!$D$8:$D$42))+1,""),ROW()-1386)),"")</f>
        <v>https://www.comunidad.madrid/hospital/12octubre/ciudadanos</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9</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Profesionales</v>
      </c>
      <c r="C1389" s="85" t="str" cm="1">
        <f t="array" ref="C1389">IFERROR(INDEX('03.Muestra'!$F$8:$F$42,SMALL(IF("Página Web"='03.Muestra'!$D$8:$D$42,ROW('03.Muestra'!$F$8:$F$42)-MIN(ROW('03.Muestra'!$D$8:$D$42))+1,""),ROW()-1386)),"")</f>
        <v>https://www.comunidad.madrid/hospital/12octubre/profesionales</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Comunicación</v>
      </c>
      <c r="C1390" s="85" t="str" cm="1">
        <f t="array" ref="C1390">IFERROR(INDEX('03.Muestra'!$F$8:$F$42,SMALL(IF("Página Web"='03.Muestra'!$D$8:$D$42,ROW('03.Muestra'!$F$8:$F$42)-MIN(ROW('03.Muestra'!$D$8:$D$42))+1,""),ROW()-1386)),"")</f>
        <v>https://www.comunidad.madrid/hospital/12octubre/comunicación</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Nosotros</v>
      </c>
      <c r="C1391" s="85" t="str" cm="1">
        <f t="array" ref="C1391">IFERROR(INDEX('03.Muestra'!$F$8:$F$42,SMALL(IF("Página Web"='03.Muestra'!$D$8:$D$42,ROW('03.Muestra'!$F$8:$F$42)-MIN(ROW('03.Muestra'!$D$8:$D$42))+1,""),ROW()-1386)),"")</f>
        <v>https://www.comunidad.madrid/hospital/12octubre/nosotros</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Centros de especialidades</v>
      </c>
      <c r="C1392" s="85" t="str" cm="1">
        <f t="array" ref="C1392">IFERROR(INDEX('03.Muestra'!$F$8:$F$42,SMALL(IF("Página Web"='03.Muestra'!$D$8:$D$42,ROW('03.Muestra'!$F$8:$F$42)-MIN(ROW('03.Muestra'!$D$8:$D$42))+1,""),ROW()-1386)),"")</f>
        <v>https://www.comunidad.madrid/hospital/12octubre/nosotros/centros-especialidades-perifericos</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Canal solidario</v>
      </c>
      <c r="C1393" s="85" t="str" cm="1">
        <f t="array" ref="C1393">IFERROR(INDEX('03.Muestra'!$F$8:$F$42,SMALL(IF("Página Web"='03.Muestra'!$D$8:$D$42,ROW('03.Muestra'!$F$8:$F$42)-MIN(ROW('03.Muestra'!$D$8:$D$42))+1,""),ROW()-1386)),"")</f>
        <v>https://www.comunidad.madrid/hospital/12octubre/ciudadanos/canal-solidario</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Aniversario</v>
      </c>
      <c r="C1394" s="85" t="str" cm="1">
        <f t="array" ref="C1394">IFERROR(INDEX('03.Muestra'!$F$8:$F$42,SMALL(IF("Página Web"='03.Muestra'!$D$8:$D$42,ROW('03.Muestra'!$F$8:$F$42)-MIN(ROW('03.Muestra'!$D$8:$D$42))+1,""),ROW()-1386)),"")</f>
        <v>https://www.comunidad.madrid/hospital/12octubre/50-aniversario</v>
      </c>
      <c r="D1394" s="99" t="s">
        <v>92</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Accesibilidad</v>
      </c>
      <c r="C1395" s="85" t="str" cm="1">
        <f t="array" ref="C1395">IFERROR(INDEX('03.Muestra'!$F$8:$F$42,SMALL(IF("Página Web"='03.Muestra'!$D$8:$D$42,ROW('03.Muestra'!$F$8:$F$42)-MIN(ROW('03.Muestra'!$D$8:$D$42))+1,""),ROW()-1386)),"")</f>
        <v>https://www.comunidad.madrid/hospital/12octubre/declaracion-accesibilidad</v>
      </c>
      <c r="D1395" s="99" t="s">
        <v>92</v>
      </c>
      <c r="E1395" s="79" t="str">
        <f t="shared" si="72"/>
        <v/>
      </c>
      <c r="F1395" s="18"/>
      <c r="G1395" s="18"/>
      <c r="H1395" s="18"/>
      <c r="I1395" s="18"/>
      <c r="J1395" s="18"/>
      <c r="K1395" s="184"/>
      <c r="L1395" s="18"/>
    </row>
    <row r="1396" spans="1:12" ht="12" customHeight="1">
      <c r="A1396" s="39" t="str" cm="1">
        <f t="array" ref="A1396">IFERROR(INDEX('03.Muestra'!$B$8:$B$42,SMALL(IF("Página Web"='03.Muestra'!$D$8:$D$42,ROW('03.Muestra'!$B$8:$B$42)-MIN(ROW('03.Muestra'!$D$8:$D$42))+1,""),ROW()-1386)),"")</f>
        <v/>
      </c>
      <c r="B1396" s="85" t="str" cm="1">
        <f t="array" ref="B1396">IFERROR(INDEX('03.Muestra'!$C$8:$C$42,SMALL(IF("Página Web"='03.Muestra'!$D$8:$D$42,ROW('03.Muestra'!$C$8:$C$42)-MIN(ROW('03.Muestra'!$D$8:$D$42))+1,""),ROW()-1386)),"")</f>
        <v/>
      </c>
      <c r="C1396" s="85" t="str" cm="1">
        <f t="array" ref="C1396">IFERROR(INDEX('03.Muestra'!$F$8:$F$42,SMALL(IF("Página Web"='03.Muestra'!$D$8:$D$42,ROW('03.Muestra'!$F$8:$F$42)-MIN(ROW('03.Muestra'!$D$8:$D$42))+1,""),ROW()-1386)),"")</f>
        <v/>
      </c>
      <c r="D1396" s="99" t="str">
        <f t="shared" ref="D1396:D1421" si="73">IF(AND(B1396&lt;&gt;"",C1396&lt;&gt;""),"N/T","")</f>
        <v/>
      </c>
      <c r="E1396" s="79" t="str">
        <f t="shared" si="72"/>
        <v/>
      </c>
      <c r="F1396" s="18"/>
      <c r="G1396" s="18"/>
      <c r="H1396" s="18"/>
      <c r="I1396" s="18"/>
      <c r="J1396" s="18"/>
      <c r="K1396" s="184"/>
      <c r="L1396" s="18"/>
    </row>
    <row r="1397" spans="1:12" ht="12" customHeight="1">
      <c r="A1397" s="39" t="str" cm="1">
        <f t="array" ref="A1397">IFERROR(INDEX('03.Muestra'!$B$8:$B$42,SMALL(IF("Página Web"='03.Muestra'!$D$8:$D$42,ROW('03.Muestra'!$B$8:$B$42)-MIN(ROW('03.Muestra'!$D$8:$D$42))+1,""),ROW()-1386)),"")</f>
        <v/>
      </c>
      <c r="B1397" s="85" t="str" cm="1">
        <f t="array" ref="B1397">IFERROR(INDEX('03.Muestra'!$C$8:$C$42,SMALL(IF("Página Web"='03.Muestra'!$D$8:$D$42,ROW('03.Muestra'!$C$8:$C$42)-MIN(ROW('03.Muestra'!$D$8:$D$42))+1,""),ROW()-1386)),"")</f>
        <v/>
      </c>
      <c r="C1397" s="85" t="str" cm="1">
        <f t="array" ref="C1397">IFERROR(INDEX('03.Muestra'!$F$8:$F$42,SMALL(IF("Página Web"='03.Muestra'!$D$8:$D$42,ROW('03.Muestra'!$F$8:$F$42)-MIN(ROW('03.Muestra'!$D$8:$D$42))+1,""),ROW()-1386)),"")</f>
        <v/>
      </c>
      <c r="D1397" s="99" t="str">
        <f t="shared" si="73"/>
        <v/>
      </c>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si="73"/>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Home</v>
      </c>
      <c r="C1425" s="85" t="str" cm="1">
        <f t="array" ref="C1425">IFERROR(INDEX('03.Muestra'!$F$8:$F$42,SMALL(IF("Página Web"='03.Muestra'!$D$8:$D$42,ROW('03.Muestra'!$F$8:$F$42)-MIN(ROW('03.Muestra'!$D$8:$D$42))+1,""),ROW()-1424)),"")</f>
        <v>https://www.comunidad.madrid/hospital/12octubre/</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Ciudadanos</v>
      </c>
      <c r="C1426" s="85" t="str" cm="1">
        <f t="array" ref="C1426">IFERROR(INDEX('03.Muestra'!$F$8:$F$42,SMALL(IF("Página Web"='03.Muestra'!$D$8:$D$42,ROW('03.Muestra'!$F$8:$F$42)-MIN(ROW('03.Muestra'!$D$8:$D$42))+1,""),ROW()-1424)),"")</f>
        <v>https://www.comunidad.madrid/hospital/12octubre/ciudadanos</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9</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Profesionales</v>
      </c>
      <c r="C1427" s="85" t="str" cm="1">
        <f t="array" ref="C1427">IFERROR(INDEX('03.Muestra'!$F$8:$F$42,SMALL(IF("Página Web"='03.Muestra'!$D$8:$D$42,ROW('03.Muestra'!$F$8:$F$42)-MIN(ROW('03.Muestra'!$D$8:$D$42))+1,""),ROW()-1424)),"")</f>
        <v>https://www.comunidad.madrid/hospital/12octubre/profesionales</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Comunicación</v>
      </c>
      <c r="C1428" s="85" t="str" cm="1">
        <f t="array" ref="C1428">IFERROR(INDEX('03.Muestra'!$F$8:$F$42,SMALL(IF("Página Web"='03.Muestra'!$D$8:$D$42,ROW('03.Muestra'!$F$8:$F$42)-MIN(ROW('03.Muestra'!$D$8:$D$42))+1,""),ROW()-1424)),"")</f>
        <v>https://www.comunidad.madrid/hospital/12octubre/comunicación</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Nosotros</v>
      </c>
      <c r="C1429" s="85" t="str" cm="1">
        <f t="array" ref="C1429">IFERROR(INDEX('03.Muestra'!$F$8:$F$42,SMALL(IF("Página Web"='03.Muestra'!$D$8:$D$42,ROW('03.Muestra'!$F$8:$F$42)-MIN(ROW('03.Muestra'!$D$8:$D$42))+1,""),ROW()-1424)),"")</f>
        <v>https://www.comunidad.madrid/hospital/12octubre/nosotros</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Centros de especialidades</v>
      </c>
      <c r="C1430" s="85" t="str" cm="1">
        <f t="array" ref="C1430">IFERROR(INDEX('03.Muestra'!$F$8:$F$42,SMALL(IF("Página Web"='03.Muestra'!$D$8:$D$42,ROW('03.Muestra'!$F$8:$F$42)-MIN(ROW('03.Muestra'!$D$8:$D$42))+1,""),ROW()-1424)),"")</f>
        <v>https://www.comunidad.madrid/hospital/12octubre/nosotros/centros-especialidades-perifericos</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Canal solidario</v>
      </c>
      <c r="C1431" s="85" t="str" cm="1">
        <f t="array" ref="C1431">IFERROR(INDEX('03.Muestra'!$F$8:$F$42,SMALL(IF("Página Web"='03.Muestra'!$D$8:$D$42,ROW('03.Muestra'!$F$8:$F$42)-MIN(ROW('03.Muestra'!$D$8:$D$42))+1,""),ROW()-1424)),"")</f>
        <v>https://www.comunidad.madrid/hospital/12octubre/ciudadanos/canal-solidario</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Aniversario</v>
      </c>
      <c r="C1432" s="85" t="str" cm="1">
        <f t="array" ref="C1432">IFERROR(INDEX('03.Muestra'!$F$8:$F$42,SMALL(IF("Página Web"='03.Muestra'!$D$8:$D$42,ROW('03.Muestra'!$F$8:$F$42)-MIN(ROW('03.Muestra'!$D$8:$D$42))+1,""),ROW()-1424)),"")</f>
        <v>https://www.comunidad.madrid/hospital/12octubre/50-aniversario</v>
      </c>
      <c r="D1432" s="99" t="s">
        <v>104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Accesibilidad</v>
      </c>
      <c r="C1433" s="85" t="str" cm="1">
        <f t="array" ref="C1433">IFERROR(INDEX('03.Muestra'!$F$8:$F$42,SMALL(IF("Página Web"='03.Muestra'!$D$8:$D$42,ROW('03.Muestra'!$F$8:$F$42)-MIN(ROW('03.Muestra'!$D$8:$D$42))+1,""),ROW()-1424)),"")</f>
        <v>https://www.comunidad.madrid/hospital/12octubre/declaracion-accesibilidad</v>
      </c>
      <c r="D1433" s="99" t="s">
        <v>104</v>
      </c>
      <c r="E1433" s="79" t="str">
        <f t="shared" si="74"/>
        <v/>
      </c>
      <c r="F1433" s="18"/>
      <c r="G1433" s="18"/>
      <c r="H1433" s="18"/>
      <c r="I1433" s="18"/>
      <c r="J1433" s="18"/>
      <c r="K1433" s="184"/>
      <c r="L1433" s="18"/>
    </row>
    <row r="1434" spans="1:12" ht="12" customHeight="1">
      <c r="A1434" s="39" t="str" cm="1">
        <f t="array" ref="A1434">IFERROR(INDEX('03.Muestra'!$B$8:$B$42,SMALL(IF("Página Web"='03.Muestra'!$D$8:$D$42,ROW('03.Muestra'!$B$8:$B$42)-MIN(ROW('03.Muestra'!$D$8:$D$42))+1,""),ROW()-1424)),"")</f>
        <v/>
      </c>
      <c r="B1434" s="85" t="str" cm="1">
        <f t="array" ref="B1434">IFERROR(INDEX('03.Muestra'!$C$8:$C$42,SMALL(IF("Página Web"='03.Muestra'!$D$8:$D$42,ROW('03.Muestra'!$C$8:$C$42)-MIN(ROW('03.Muestra'!$D$8:$D$42))+1,""),ROW()-1424)),"")</f>
        <v/>
      </c>
      <c r="C1434" s="85" t="str" cm="1">
        <f t="array" ref="C1434">IFERROR(INDEX('03.Muestra'!$F$8:$F$42,SMALL(IF("Página Web"='03.Muestra'!$D$8:$D$42,ROW('03.Muestra'!$F$8:$F$42)-MIN(ROW('03.Muestra'!$D$8:$D$42))+1,""),ROW()-1424)),"")</f>
        <v/>
      </c>
      <c r="D1434" s="99" t="str">
        <f t="shared" ref="D1434:D1459" si="75">IF(AND(B1434&lt;&gt;"",C1434&lt;&gt;""),"N/T","")</f>
        <v/>
      </c>
      <c r="E1434" s="79" t="str">
        <f t="shared" si="74"/>
        <v/>
      </c>
      <c r="F1434" s="18"/>
      <c r="G1434" s="18"/>
      <c r="H1434" s="18"/>
      <c r="I1434" s="18"/>
      <c r="J1434" s="18"/>
      <c r="K1434" s="184"/>
      <c r="L1434" s="18"/>
    </row>
    <row r="1435" spans="1:12" ht="12" customHeight="1">
      <c r="A1435" s="39" t="str" cm="1">
        <f t="array" ref="A1435">IFERROR(INDEX('03.Muestra'!$B$8:$B$42,SMALL(IF("Página Web"='03.Muestra'!$D$8:$D$42,ROW('03.Muestra'!$B$8:$B$42)-MIN(ROW('03.Muestra'!$D$8:$D$42))+1,""),ROW()-1424)),"")</f>
        <v/>
      </c>
      <c r="B1435" s="85" t="str" cm="1">
        <f t="array" ref="B1435">IFERROR(INDEX('03.Muestra'!$C$8:$C$42,SMALL(IF("Página Web"='03.Muestra'!$D$8:$D$42,ROW('03.Muestra'!$C$8:$C$42)-MIN(ROW('03.Muestra'!$D$8:$D$42))+1,""),ROW()-1424)),"")</f>
        <v/>
      </c>
      <c r="C1435" s="85" t="str" cm="1">
        <f t="array" ref="C1435">IFERROR(INDEX('03.Muestra'!$F$8:$F$42,SMALL(IF("Página Web"='03.Muestra'!$D$8:$D$42,ROW('03.Muestra'!$F$8:$F$42)-MIN(ROW('03.Muestra'!$D$8:$D$42))+1,""),ROW()-1424)),"")</f>
        <v/>
      </c>
      <c r="D1435" s="99" t="str">
        <f t="shared" si="75"/>
        <v/>
      </c>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si="75"/>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Home</v>
      </c>
      <c r="C1463" s="85" t="str" cm="1">
        <f t="array" ref="C1463">IFERROR(INDEX('03.Muestra'!$F$8:$F$42,SMALL(IF("Página Web"='03.Muestra'!$D$8:$D$42,ROW('03.Muestra'!$F$8:$F$42)-MIN(ROW('03.Muestra'!$D$8:$D$42))+1,""),ROW()-1462)),"")</f>
        <v>https://www.comunidad.madrid/hospital/12octubre/</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Ciudadanos</v>
      </c>
      <c r="C1464" s="85" t="str" cm="1">
        <f t="array" ref="C1464">IFERROR(INDEX('03.Muestra'!$F$8:$F$42,SMALL(IF("Página Web"='03.Muestra'!$D$8:$D$42,ROW('03.Muestra'!$F$8:$F$42)-MIN(ROW('03.Muestra'!$D$8:$D$42))+1,""),ROW()-1462)),"")</f>
        <v>https://www.comunidad.madrid/hospital/12octubre/ciudadanos</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9</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Profesionales</v>
      </c>
      <c r="C1465" s="85" t="str" cm="1">
        <f t="array" ref="C1465">IFERROR(INDEX('03.Muestra'!$F$8:$F$42,SMALL(IF("Página Web"='03.Muestra'!$D$8:$D$42,ROW('03.Muestra'!$F$8:$F$42)-MIN(ROW('03.Muestra'!$D$8:$D$42))+1,""),ROW()-1462)),"")</f>
        <v>https://www.comunidad.madrid/hospital/12octubre/profesionales</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Comunicación</v>
      </c>
      <c r="C1466" s="85" t="str" cm="1">
        <f t="array" ref="C1466">IFERROR(INDEX('03.Muestra'!$F$8:$F$42,SMALL(IF("Página Web"='03.Muestra'!$D$8:$D$42,ROW('03.Muestra'!$F$8:$F$42)-MIN(ROW('03.Muestra'!$D$8:$D$42))+1,""),ROW()-1462)),"")</f>
        <v>https://www.comunidad.madrid/hospital/12octubre/comunicación</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Nosotros</v>
      </c>
      <c r="C1467" s="85" t="str" cm="1">
        <f t="array" ref="C1467">IFERROR(INDEX('03.Muestra'!$F$8:$F$42,SMALL(IF("Página Web"='03.Muestra'!$D$8:$D$42,ROW('03.Muestra'!$F$8:$F$42)-MIN(ROW('03.Muestra'!$D$8:$D$42))+1,""),ROW()-1462)),"")</f>
        <v>https://www.comunidad.madrid/hospital/12octubre/nosotros</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Centros de especialidades</v>
      </c>
      <c r="C1468" s="85" t="str" cm="1">
        <f t="array" ref="C1468">IFERROR(INDEX('03.Muestra'!$F$8:$F$42,SMALL(IF("Página Web"='03.Muestra'!$D$8:$D$42,ROW('03.Muestra'!$F$8:$F$42)-MIN(ROW('03.Muestra'!$D$8:$D$42))+1,""),ROW()-1462)),"")</f>
        <v>https://www.comunidad.madrid/hospital/12octubre/nosotros/centros-especialidades-perifericos</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Canal solidario</v>
      </c>
      <c r="C1469" s="85" t="str" cm="1">
        <f t="array" ref="C1469">IFERROR(INDEX('03.Muestra'!$F$8:$F$42,SMALL(IF("Página Web"='03.Muestra'!$D$8:$D$42,ROW('03.Muestra'!$F$8:$F$42)-MIN(ROW('03.Muestra'!$D$8:$D$42))+1,""),ROW()-1462)),"")</f>
        <v>https://www.comunidad.madrid/hospital/12octubre/ciudadanos/canal-solidario</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Aniversario</v>
      </c>
      <c r="C1470" s="85" t="str" cm="1">
        <f t="array" ref="C1470">IFERROR(INDEX('03.Muestra'!$F$8:$F$42,SMALL(IF("Página Web"='03.Muestra'!$D$8:$D$42,ROW('03.Muestra'!$F$8:$F$42)-MIN(ROW('03.Muestra'!$D$8:$D$42))+1,""),ROW()-1462)),"")</f>
        <v>https://www.comunidad.madrid/hospital/12octubre/50-aniversario</v>
      </c>
      <c r="D1470" s="99" t="s">
        <v>92</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Accesibilidad</v>
      </c>
      <c r="C1471" s="85" t="str" cm="1">
        <f t="array" ref="C1471">IFERROR(INDEX('03.Muestra'!$F$8:$F$42,SMALL(IF("Página Web"='03.Muestra'!$D$8:$D$42,ROW('03.Muestra'!$F$8:$F$42)-MIN(ROW('03.Muestra'!$D$8:$D$42))+1,""),ROW()-1462)),"")</f>
        <v>https://www.comunidad.madrid/hospital/12octubre/declaracion-accesibilidad</v>
      </c>
      <c r="D1471" s="99" t="s">
        <v>92</v>
      </c>
      <c r="E1471" s="79" t="str">
        <f t="shared" si="76"/>
        <v/>
      </c>
      <c r="F1471" s="18"/>
      <c r="G1471" s="18"/>
      <c r="H1471" s="18"/>
      <c r="I1471" s="18"/>
      <c r="J1471" s="18"/>
      <c r="K1471" s="184"/>
      <c r="L1471" s="18"/>
    </row>
    <row r="1472" spans="1:12" ht="12" customHeight="1">
      <c r="A1472" s="39" t="str" cm="1">
        <f t="array" ref="A1472">IFERROR(INDEX('03.Muestra'!$B$8:$B$42,SMALL(IF("Página Web"='03.Muestra'!$D$8:$D$42,ROW('03.Muestra'!$B$8:$B$42)-MIN(ROW('03.Muestra'!$D$8:$D$42))+1,""),ROW()-1462)),"")</f>
        <v/>
      </c>
      <c r="B1472" s="85" t="str" cm="1">
        <f t="array" ref="B1472">IFERROR(INDEX('03.Muestra'!$C$8:$C$42,SMALL(IF("Página Web"='03.Muestra'!$D$8:$D$42,ROW('03.Muestra'!$C$8:$C$42)-MIN(ROW('03.Muestra'!$D$8:$D$42))+1,""),ROW()-1462)),"")</f>
        <v/>
      </c>
      <c r="C1472" s="85" t="str" cm="1">
        <f t="array" ref="C1472">IFERROR(INDEX('03.Muestra'!$F$8:$F$42,SMALL(IF("Página Web"='03.Muestra'!$D$8:$D$42,ROW('03.Muestra'!$F$8:$F$42)-MIN(ROW('03.Muestra'!$D$8:$D$42))+1,""),ROW()-1462)),"")</f>
        <v/>
      </c>
      <c r="D1472" s="99" t="str">
        <f t="shared" ref="D1472:D1497" si="77">IF(AND(B1472&lt;&gt;"",C1472&lt;&gt;""),"N/T","")</f>
        <v/>
      </c>
      <c r="E1472" s="79" t="str">
        <f t="shared" si="76"/>
        <v/>
      </c>
      <c r="F1472" s="18"/>
      <c r="G1472" s="18"/>
      <c r="H1472" s="18"/>
      <c r="I1472" s="18"/>
      <c r="J1472" s="18"/>
      <c r="K1472" s="184"/>
      <c r="L1472" s="18"/>
    </row>
    <row r="1473" spans="1:12" ht="12" customHeight="1">
      <c r="A1473" s="39" t="str" cm="1">
        <f t="array" ref="A1473">IFERROR(INDEX('03.Muestra'!$B$8:$B$42,SMALL(IF("Página Web"='03.Muestra'!$D$8:$D$42,ROW('03.Muestra'!$B$8:$B$42)-MIN(ROW('03.Muestra'!$D$8:$D$42))+1,""),ROW()-1462)),"")</f>
        <v/>
      </c>
      <c r="B1473" s="85" t="str" cm="1">
        <f t="array" ref="B1473">IFERROR(INDEX('03.Muestra'!$C$8:$C$42,SMALL(IF("Página Web"='03.Muestra'!$D$8:$D$42,ROW('03.Muestra'!$C$8:$C$42)-MIN(ROW('03.Muestra'!$D$8:$D$42))+1,""),ROW()-1462)),"")</f>
        <v/>
      </c>
      <c r="C1473" s="85" t="str" cm="1">
        <f t="array" ref="C1473">IFERROR(INDEX('03.Muestra'!$F$8:$F$42,SMALL(IF("Página Web"='03.Muestra'!$D$8:$D$42,ROW('03.Muestra'!$F$8:$F$42)-MIN(ROW('03.Muestra'!$D$8:$D$42))+1,""),ROW()-1462)),"")</f>
        <v/>
      </c>
      <c r="D1473" s="99" t="str">
        <f t="shared" si="77"/>
        <v/>
      </c>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si="77"/>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Home</v>
      </c>
      <c r="C1501" s="85" t="str" cm="1">
        <f t="array" ref="C1501">IFERROR(INDEX('03.Muestra'!$F$8:$F$42,SMALL(IF("Página Web"='03.Muestra'!$D$8:$D$42,ROW('03.Muestra'!$F$8:$F$42)-MIN(ROW('03.Muestra'!$D$8:$D$42))+1,""),ROW()-1500)),"")</f>
        <v>https://www.comunidad.madrid/hospital/12octubre/</v>
      </c>
      <c r="D1501" s="99" t="s">
        <v>104</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Ciudadanos</v>
      </c>
      <c r="C1502" s="85" t="str" cm="1">
        <f t="array" ref="C1502">IFERROR(INDEX('03.Muestra'!$F$8:$F$42,SMALL(IF("Página Web"='03.Muestra'!$D$8:$D$42,ROW('03.Muestra'!$F$8:$F$42)-MIN(ROW('03.Muestra'!$D$8:$D$42))+1,""),ROW()-1500)),"")</f>
        <v>https://www.comunidad.madrid/hospital/12octubre/ciudadanos</v>
      </c>
      <c r="D1502" s="99" t="s">
        <v>104</v>
      </c>
      <c r="E1502" s="79" t="str">
        <f t="shared" si="78"/>
        <v/>
      </c>
      <c r="F1502" s="91">
        <f ca="1">COUNTIF($D1501:INDIRECT("$D" &amp;  SUM(ROW()-1,'03.Muestra'!$D$45)-1),F1501)</f>
        <v>0</v>
      </c>
      <c r="G1502" s="91">
        <f ca="1">COUNTIF($D1501:INDIRECT("$D" &amp;  SUM(ROW()-1,'03.Muestra'!$D$45)-1),G1501)</f>
        <v>0</v>
      </c>
      <c r="H1502" s="91">
        <f ca="1">COUNTIF($D1501:INDIRECT("$D" &amp;  SUM(ROW()-1,'03.Muestra'!$D$45)-1),H1501)</f>
        <v>9</v>
      </c>
      <c r="I1502" s="91">
        <f ca="1">COUNTIF($D1501:INDIRECT("$D" &amp;  SUM(ROW()-1,'03.Muestra'!$D$45)-1),I1501)</f>
        <v>0</v>
      </c>
      <c r="J1502" s="91">
        <f ca="1">COUNTIF($D1501:INDIRECT("$D" &amp;  SUM(ROW()-1,'03.Muestra'!$D$45)-1),J1501)</f>
        <v>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Profesionales</v>
      </c>
      <c r="C1503" s="85" t="str" cm="1">
        <f t="array" ref="C1503">IFERROR(INDEX('03.Muestra'!$F$8:$F$42,SMALL(IF("Página Web"='03.Muestra'!$D$8:$D$42,ROW('03.Muestra'!$F$8:$F$42)-MIN(ROW('03.Muestra'!$D$8:$D$42))+1,""),ROW()-1500)),"")</f>
        <v>https://www.comunidad.madrid/hospital/12octubre/profesionales</v>
      </c>
      <c r="D1503" s="99" t="s">
        <v>104</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Comunicación</v>
      </c>
      <c r="C1504" s="85" t="str" cm="1">
        <f t="array" ref="C1504">IFERROR(INDEX('03.Muestra'!$F$8:$F$42,SMALL(IF("Página Web"='03.Muestra'!$D$8:$D$42,ROW('03.Muestra'!$F$8:$F$42)-MIN(ROW('03.Muestra'!$D$8:$D$42))+1,""),ROW()-1500)),"")</f>
        <v>https://www.comunidad.madrid/hospital/12octubre/comunicación</v>
      </c>
      <c r="D1504" s="99" t="s">
        <v>104</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Nosotros</v>
      </c>
      <c r="C1505" s="85" t="str" cm="1">
        <f t="array" ref="C1505">IFERROR(INDEX('03.Muestra'!$F$8:$F$42,SMALL(IF("Página Web"='03.Muestra'!$D$8:$D$42,ROW('03.Muestra'!$F$8:$F$42)-MIN(ROW('03.Muestra'!$D$8:$D$42))+1,""),ROW()-1500)),"")</f>
        <v>https://www.comunidad.madrid/hospital/12octubre/nosotros</v>
      </c>
      <c r="D1505" s="99" t="s">
        <v>104</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Centros de especialidades</v>
      </c>
      <c r="C1506" s="85" t="str" cm="1">
        <f t="array" ref="C1506">IFERROR(INDEX('03.Muestra'!$F$8:$F$42,SMALL(IF("Página Web"='03.Muestra'!$D$8:$D$42,ROW('03.Muestra'!$F$8:$F$42)-MIN(ROW('03.Muestra'!$D$8:$D$42))+1,""),ROW()-1500)),"")</f>
        <v>https://www.comunidad.madrid/hospital/12octubre/nosotros/centros-especialidades-perifericos</v>
      </c>
      <c r="D1506" s="99" t="s">
        <v>104</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Canal solidario</v>
      </c>
      <c r="C1507" s="85" t="str" cm="1">
        <f t="array" ref="C1507">IFERROR(INDEX('03.Muestra'!$F$8:$F$42,SMALL(IF("Página Web"='03.Muestra'!$D$8:$D$42,ROW('03.Muestra'!$F$8:$F$42)-MIN(ROW('03.Muestra'!$D$8:$D$42))+1,""),ROW()-1500)),"")</f>
        <v>https://www.comunidad.madrid/hospital/12octubre/ciudadanos/canal-solidario</v>
      </c>
      <c r="D1507" s="99" t="s">
        <v>104</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Aniversario</v>
      </c>
      <c r="C1508" s="85" t="str" cm="1">
        <f t="array" ref="C1508">IFERROR(INDEX('03.Muestra'!$F$8:$F$42,SMALL(IF("Página Web"='03.Muestra'!$D$8:$D$42,ROW('03.Muestra'!$F$8:$F$42)-MIN(ROW('03.Muestra'!$D$8:$D$42))+1,""),ROW()-1500)),"")</f>
        <v>https://www.comunidad.madrid/hospital/12octubre/50-aniversario</v>
      </c>
      <c r="D1508" s="99" t="s">
        <v>104</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Accesibilidad</v>
      </c>
      <c r="C1509" s="85" t="str" cm="1">
        <f t="array" ref="C1509">IFERROR(INDEX('03.Muestra'!$F$8:$F$42,SMALL(IF("Página Web"='03.Muestra'!$D$8:$D$42,ROW('03.Muestra'!$F$8:$F$42)-MIN(ROW('03.Muestra'!$D$8:$D$42))+1,""),ROW()-1500)),"")</f>
        <v>https://www.comunidad.madrid/hospital/12octubre/declaracion-accesibilidad</v>
      </c>
      <c r="D1509" s="99" t="s">
        <v>104</v>
      </c>
      <c r="E1509" s="79" t="str">
        <f t="shared" si="78"/>
        <v/>
      </c>
      <c r="F1509" s="18"/>
      <c r="G1509" s="18"/>
      <c r="H1509" s="18"/>
      <c r="I1509" s="18"/>
      <c r="J1509" s="18"/>
      <c r="K1509" s="184"/>
      <c r="L1509" s="18"/>
    </row>
    <row r="1510" spans="1:12" ht="12" customHeight="1">
      <c r="A1510" s="39" t="str" cm="1">
        <f t="array" ref="A1510">IFERROR(INDEX('03.Muestra'!$B$8:$B$42,SMALL(IF("Página Web"='03.Muestra'!$D$8:$D$42,ROW('03.Muestra'!$B$8:$B$42)-MIN(ROW('03.Muestra'!$D$8:$D$42))+1,""),ROW()-1500)),"")</f>
        <v/>
      </c>
      <c r="B1510" s="85" t="str" cm="1">
        <f t="array" ref="B1510">IFERROR(INDEX('03.Muestra'!$C$8:$C$42,SMALL(IF("Página Web"='03.Muestra'!$D$8:$D$42,ROW('03.Muestra'!$C$8:$C$42)-MIN(ROW('03.Muestra'!$D$8:$D$42))+1,""),ROW()-1500)),"")</f>
        <v/>
      </c>
      <c r="C1510" s="85" t="str" cm="1">
        <f t="array" ref="C1510">IFERROR(INDEX('03.Muestra'!$F$8:$F$42,SMALL(IF("Página Web"='03.Muestra'!$D$8:$D$42,ROW('03.Muestra'!$F$8:$F$42)-MIN(ROW('03.Muestra'!$D$8:$D$42))+1,""),ROW()-1500)),"")</f>
        <v/>
      </c>
      <c r="D1510" s="99" t="str">
        <f t="shared" ref="D1510:D1535" si="79">IF(AND(B1510&lt;&gt;"",C1510&lt;&gt;""),"N/T","")</f>
        <v/>
      </c>
      <c r="E1510" s="79" t="str">
        <f t="shared" si="78"/>
        <v/>
      </c>
      <c r="F1510" s="18"/>
      <c r="G1510" s="18"/>
      <c r="H1510" s="18"/>
      <c r="I1510" s="18"/>
      <c r="J1510" s="18"/>
      <c r="K1510" s="184"/>
      <c r="L1510" s="18"/>
    </row>
    <row r="1511" spans="1:12" ht="12" customHeight="1">
      <c r="A1511" s="39" t="str" cm="1">
        <f t="array" ref="A1511">IFERROR(INDEX('03.Muestra'!$B$8:$B$42,SMALL(IF("Página Web"='03.Muestra'!$D$8:$D$42,ROW('03.Muestra'!$B$8:$B$42)-MIN(ROW('03.Muestra'!$D$8:$D$42))+1,""),ROW()-1500)),"")</f>
        <v/>
      </c>
      <c r="B1511" s="85" t="str" cm="1">
        <f t="array" ref="B1511">IFERROR(INDEX('03.Muestra'!$C$8:$C$42,SMALL(IF("Página Web"='03.Muestra'!$D$8:$D$42,ROW('03.Muestra'!$C$8:$C$42)-MIN(ROW('03.Muestra'!$D$8:$D$42))+1,""),ROW()-1500)),"")</f>
        <v/>
      </c>
      <c r="C1511" s="85" t="str" cm="1">
        <f t="array" ref="C1511">IFERROR(INDEX('03.Muestra'!$F$8:$F$42,SMALL(IF("Página Web"='03.Muestra'!$D$8:$D$42,ROW('03.Muestra'!$F$8:$F$42)-MIN(ROW('03.Muestra'!$D$8:$D$42))+1,""),ROW()-1500)),"")</f>
        <v/>
      </c>
      <c r="D1511" s="99" t="str">
        <f t="shared" si="79"/>
        <v/>
      </c>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si="79"/>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Home</v>
      </c>
      <c r="C1539" s="85" t="str" cm="1">
        <f t="array" ref="C1539">IFERROR(INDEX('03.Muestra'!$F$8:$F$42,SMALL(IF("Página Web"='03.Muestra'!$D$8:$D$42,ROW('03.Muestra'!$F$8:$F$42)-MIN(ROW('03.Muestra'!$D$8:$D$42))+1,""),ROW()-1538)),"")</f>
        <v>https://www.comunidad.madrid/hospital/12octubre/</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Ciudadanos</v>
      </c>
      <c r="C1540" s="85" t="str" cm="1">
        <f t="array" ref="C1540">IFERROR(INDEX('03.Muestra'!$F$8:$F$42,SMALL(IF("Página Web"='03.Muestra'!$D$8:$D$42,ROW('03.Muestra'!$F$8:$F$42)-MIN(ROW('03.Muestra'!$D$8:$D$42))+1,""),ROW()-1538)),"")</f>
        <v>https://www.comunidad.madrid/hospital/12octubre/ciudadanos</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9</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Profesionales</v>
      </c>
      <c r="C1541" s="85" t="str" cm="1">
        <f t="array" ref="C1541">IFERROR(INDEX('03.Muestra'!$F$8:$F$42,SMALL(IF("Página Web"='03.Muestra'!$D$8:$D$42,ROW('03.Muestra'!$F$8:$F$42)-MIN(ROW('03.Muestra'!$D$8:$D$42))+1,""),ROW()-1538)),"")</f>
        <v>https://www.comunidad.madrid/hospital/12octubre/profesionales</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Comunicación</v>
      </c>
      <c r="C1542" s="85" t="str" cm="1">
        <f t="array" ref="C1542">IFERROR(INDEX('03.Muestra'!$F$8:$F$42,SMALL(IF("Página Web"='03.Muestra'!$D$8:$D$42,ROW('03.Muestra'!$F$8:$F$42)-MIN(ROW('03.Muestra'!$D$8:$D$42))+1,""),ROW()-1538)),"")</f>
        <v>https://www.comunidad.madrid/hospital/12octubre/comunicación</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Nosotros</v>
      </c>
      <c r="C1543" s="85" t="str" cm="1">
        <f t="array" ref="C1543">IFERROR(INDEX('03.Muestra'!$F$8:$F$42,SMALL(IF("Página Web"='03.Muestra'!$D$8:$D$42,ROW('03.Muestra'!$F$8:$F$42)-MIN(ROW('03.Muestra'!$D$8:$D$42))+1,""),ROW()-1538)),"")</f>
        <v>https://www.comunidad.madrid/hospital/12octubre/nosotros</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Centros de especialidades</v>
      </c>
      <c r="C1544" s="85" t="str" cm="1">
        <f t="array" ref="C1544">IFERROR(INDEX('03.Muestra'!$F$8:$F$42,SMALL(IF("Página Web"='03.Muestra'!$D$8:$D$42,ROW('03.Muestra'!$F$8:$F$42)-MIN(ROW('03.Muestra'!$D$8:$D$42))+1,""),ROW()-1538)),"")</f>
        <v>https://www.comunidad.madrid/hospital/12octubre/nosotros/centros-especialidades-perifericos</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Canal solidario</v>
      </c>
      <c r="C1545" s="85" t="str" cm="1">
        <f t="array" ref="C1545">IFERROR(INDEX('03.Muestra'!$F$8:$F$42,SMALL(IF("Página Web"='03.Muestra'!$D$8:$D$42,ROW('03.Muestra'!$F$8:$F$42)-MIN(ROW('03.Muestra'!$D$8:$D$42))+1,""),ROW()-1538)),"")</f>
        <v>https://www.comunidad.madrid/hospital/12octubre/ciudadanos/canal-solidario</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Aniversario</v>
      </c>
      <c r="C1546" s="85" t="str" cm="1">
        <f t="array" ref="C1546">IFERROR(INDEX('03.Muestra'!$F$8:$F$42,SMALL(IF("Página Web"='03.Muestra'!$D$8:$D$42,ROW('03.Muestra'!$F$8:$F$42)-MIN(ROW('03.Muestra'!$D$8:$D$42))+1,""),ROW()-1538)),"")</f>
        <v>https://www.comunidad.madrid/hospital/12octubre/50-aniversario</v>
      </c>
      <c r="D1546" s="99" t="s">
        <v>92</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Accesibilidad</v>
      </c>
      <c r="C1547" s="85" t="str" cm="1">
        <f t="array" ref="C1547">IFERROR(INDEX('03.Muestra'!$F$8:$F$42,SMALL(IF("Página Web"='03.Muestra'!$D$8:$D$42,ROW('03.Muestra'!$F$8:$F$42)-MIN(ROW('03.Muestra'!$D$8:$D$42))+1,""),ROW()-1538)),"")</f>
        <v>https://www.comunidad.madrid/hospital/12octubre/declaracion-accesibilidad</v>
      </c>
      <c r="D1547" s="99" t="s">
        <v>92</v>
      </c>
      <c r="E1547" s="79" t="str">
        <f t="shared" si="80"/>
        <v/>
      </c>
      <c r="F1547" s="18"/>
      <c r="G1547" s="18"/>
      <c r="H1547" s="18"/>
      <c r="I1547" s="18"/>
      <c r="J1547" s="18"/>
      <c r="K1547" s="184"/>
      <c r="L1547" s="18"/>
    </row>
    <row r="1548" spans="1:12" ht="12" customHeight="1">
      <c r="A1548" s="39" t="str" cm="1">
        <f t="array" ref="A1548">IFERROR(INDEX('03.Muestra'!$B$8:$B$42,SMALL(IF("Página Web"='03.Muestra'!$D$8:$D$42,ROW('03.Muestra'!$B$8:$B$42)-MIN(ROW('03.Muestra'!$D$8:$D$42))+1,""),ROW()-1538)),"")</f>
        <v/>
      </c>
      <c r="B1548" s="85" t="str" cm="1">
        <f t="array" ref="B1548">IFERROR(INDEX('03.Muestra'!$C$8:$C$42,SMALL(IF("Página Web"='03.Muestra'!$D$8:$D$42,ROW('03.Muestra'!$C$8:$C$42)-MIN(ROW('03.Muestra'!$D$8:$D$42))+1,""),ROW()-1538)),"")</f>
        <v/>
      </c>
      <c r="C1548" s="85" t="str" cm="1">
        <f t="array" ref="C1548">IFERROR(INDEX('03.Muestra'!$F$8:$F$42,SMALL(IF("Página Web"='03.Muestra'!$D$8:$D$42,ROW('03.Muestra'!$F$8:$F$42)-MIN(ROW('03.Muestra'!$D$8:$D$42))+1,""),ROW()-1538)),"")</f>
        <v/>
      </c>
      <c r="D1548" s="99" t="str">
        <f t="shared" ref="D1548:D1573" si="81">IF(AND(B1548&lt;&gt;"",C1548&lt;&gt;""),"N/T","")</f>
        <v/>
      </c>
      <c r="E1548" s="79" t="str">
        <f t="shared" si="80"/>
        <v/>
      </c>
      <c r="F1548" s="18"/>
      <c r="G1548" s="18"/>
      <c r="H1548" s="18"/>
      <c r="I1548" s="18"/>
      <c r="J1548" s="18"/>
      <c r="K1548" s="184"/>
    </row>
    <row r="1549" spans="1:12" ht="12" customHeight="1">
      <c r="A1549" s="39" t="str" cm="1">
        <f t="array" ref="A1549">IFERROR(INDEX('03.Muestra'!$B$8:$B$42,SMALL(IF("Página Web"='03.Muestra'!$D$8:$D$42,ROW('03.Muestra'!$B$8:$B$42)-MIN(ROW('03.Muestra'!$D$8:$D$42))+1,""),ROW()-1538)),"")</f>
        <v/>
      </c>
      <c r="B1549" s="85" t="str" cm="1">
        <f t="array" ref="B1549">IFERROR(INDEX('03.Muestra'!$C$8:$C$42,SMALL(IF("Página Web"='03.Muestra'!$D$8:$D$42,ROW('03.Muestra'!$C$8:$C$42)-MIN(ROW('03.Muestra'!$D$8:$D$42))+1,""),ROW()-1538)),"")</f>
        <v/>
      </c>
      <c r="C1549" s="85" t="str" cm="1">
        <f t="array" ref="C1549">IFERROR(INDEX('03.Muestra'!$F$8:$F$42,SMALL(IF("Página Web"='03.Muestra'!$D$8:$D$42,ROW('03.Muestra'!$F$8:$F$42)-MIN(ROW('03.Muestra'!$D$8:$D$42))+1,""),ROW()-1538)),"")</f>
        <v/>
      </c>
      <c r="D1549" s="99" t="str">
        <f t="shared" si="81"/>
        <v/>
      </c>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si="81"/>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Home</v>
      </c>
      <c r="C1577" s="85" t="str" cm="1">
        <f t="array" ref="C1577">IFERROR(INDEX('03.Muestra'!$F$8:$F$42,SMALL(IF("Página Web"='03.Muestra'!$D$8:$D$42,ROW('03.Muestra'!$F$8:$F$42)-MIN(ROW('03.Muestra'!$D$8:$D$42))+1,""),ROW()-1576)),"")</f>
        <v>https://www.comunidad.madrid/hospital/12octubre/</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Ciudadanos</v>
      </c>
      <c r="C1578" s="85" t="str" cm="1">
        <f t="array" ref="C1578">IFERROR(INDEX('03.Muestra'!$F$8:$F$42,SMALL(IF("Página Web"='03.Muestra'!$D$8:$D$42,ROW('03.Muestra'!$F$8:$F$42)-MIN(ROW('03.Muestra'!$D$8:$D$42))+1,""),ROW()-1576)),"")</f>
        <v>https://www.comunidad.madrid/hospital/12octubre/ciudadanos</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9</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Profesionales</v>
      </c>
      <c r="C1579" s="85" t="str" cm="1">
        <f t="array" ref="C1579">IFERROR(INDEX('03.Muestra'!$F$8:$F$42,SMALL(IF("Página Web"='03.Muestra'!$D$8:$D$42,ROW('03.Muestra'!$F$8:$F$42)-MIN(ROW('03.Muestra'!$D$8:$D$42))+1,""),ROW()-1576)),"")</f>
        <v>https://www.comunidad.madrid/hospital/12octubre/profesionales</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Comunicación</v>
      </c>
      <c r="C1580" s="85" t="str" cm="1">
        <f t="array" ref="C1580">IFERROR(INDEX('03.Muestra'!$F$8:$F$42,SMALL(IF("Página Web"='03.Muestra'!$D$8:$D$42,ROW('03.Muestra'!$F$8:$F$42)-MIN(ROW('03.Muestra'!$D$8:$D$42))+1,""),ROW()-1576)),"")</f>
        <v>https://www.comunidad.madrid/hospital/12octubre/comunicación</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Nosotros</v>
      </c>
      <c r="C1581" s="85" t="str" cm="1">
        <f t="array" ref="C1581">IFERROR(INDEX('03.Muestra'!$F$8:$F$42,SMALL(IF("Página Web"='03.Muestra'!$D$8:$D$42,ROW('03.Muestra'!$F$8:$F$42)-MIN(ROW('03.Muestra'!$D$8:$D$42))+1,""),ROW()-1576)),"")</f>
        <v>https://www.comunidad.madrid/hospital/12octubre/nosotros</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Centros de especialidades</v>
      </c>
      <c r="C1582" s="85" t="str" cm="1">
        <f t="array" ref="C1582">IFERROR(INDEX('03.Muestra'!$F$8:$F$42,SMALL(IF("Página Web"='03.Muestra'!$D$8:$D$42,ROW('03.Muestra'!$F$8:$F$42)-MIN(ROW('03.Muestra'!$D$8:$D$42))+1,""),ROW()-1576)),"")</f>
        <v>https://www.comunidad.madrid/hospital/12octubre/nosotros/centros-especialidades-perifericos</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Canal solidario</v>
      </c>
      <c r="C1583" s="85" t="str" cm="1">
        <f t="array" ref="C1583">IFERROR(INDEX('03.Muestra'!$F$8:$F$42,SMALL(IF("Página Web"='03.Muestra'!$D$8:$D$42,ROW('03.Muestra'!$F$8:$F$42)-MIN(ROW('03.Muestra'!$D$8:$D$42))+1,""),ROW()-1576)),"")</f>
        <v>https://www.comunidad.madrid/hospital/12octubre/ciudadanos/canal-solidario</v>
      </c>
      <c r="D1583" s="99" t="s">
        <v>92</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Aniversario</v>
      </c>
      <c r="C1584" s="85" t="str" cm="1">
        <f t="array" ref="C1584">IFERROR(INDEX('03.Muestra'!$F$8:$F$42,SMALL(IF("Página Web"='03.Muestra'!$D$8:$D$42,ROW('03.Muestra'!$F$8:$F$42)-MIN(ROW('03.Muestra'!$D$8:$D$42))+1,""),ROW()-1576)),"")</f>
        <v>https://www.comunidad.madrid/hospital/12octubre/50-aniversario</v>
      </c>
      <c r="D1584" s="99" t="s">
        <v>92</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Accesibilidad</v>
      </c>
      <c r="C1585" s="85" t="str" cm="1">
        <f t="array" ref="C1585">IFERROR(INDEX('03.Muestra'!$F$8:$F$42,SMALL(IF("Página Web"='03.Muestra'!$D$8:$D$42,ROW('03.Muestra'!$F$8:$F$42)-MIN(ROW('03.Muestra'!$D$8:$D$42))+1,""),ROW()-1576)),"")</f>
        <v>https://www.comunidad.madrid/hospital/12octubre/declaracion-accesibilidad</v>
      </c>
      <c r="D1585" s="99" t="s">
        <v>92</v>
      </c>
      <c r="E1585" s="79" t="str">
        <f t="shared" si="82"/>
        <v/>
      </c>
      <c r="F1585" s="18"/>
      <c r="G1585" s="18"/>
      <c r="H1585" s="18"/>
      <c r="I1585" s="18"/>
      <c r="J1585" s="18"/>
      <c r="K1585" s="184"/>
      <c r="L1585" s="18"/>
    </row>
    <row r="1586" spans="1:12" ht="12" customHeight="1">
      <c r="A1586" s="39" t="str" cm="1">
        <f t="array" ref="A1586">IFERROR(INDEX('03.Muestra'!$B$8:$B$42,SMALL(IF("Página Web"='03.Muestra'!$D$8:$D$42,ROW('03.Muestra'!$B$8:$B$42)-MIN(ROW('03.Muestra'!$D$8:$D$42))+1,""),ROW()-1576)),"")</f>
        <v/>
      </c>
      <c r="B1586" s="85" t="str" cm="1">
        <f t="array" ref="B1586">IFERROR(INDEX('03.Muestra'!$C$8:$C$42,SMALL(IF("Página Web"='03.Muestra'!$D$8:$D$42,ROW('03.Muestra'!$C$8:$C$42)-MIN(ROW('03.Muestra'!$D$8:$D$42))+1,""),ROW()-1576)),"")</f>
        <v/>
      </c>
      <c r="C1586" s="85" t="str" cm="1">
        <f t="array" ref="C1586">IFERROR(INDEX('03.Muestra'!$F$8:$F$42,SMALL(IF("Página Web"='03.Muestra'!$D$8:$D$42,ROW('03.Muestra'!$F$8:$F$42)-MIN(ROW('03.Muestra'!$D$8:$D$42))+1,""),ROW()-1576)),"")</f>
        <v/>
      </c>
      <c r="D1586" s="99" t="str">
        <f t="shared" ref="D1586:D1611" si="83">IF(AND(B1586&lt;&gt;"",C1586&lt;&gt;""),"N/T","")</f>
        <v/>
      </c>
      <c r="E1586" s="79" t="str">
        <f t="shared" si="82"/>
        <v/>
      </c>
      <c r="F1586" s="18"/>
      <c r="G1586" s="18"/>
      <c r="H1586" s="18"/>
      <c r="I1586" s="18"/>
      <c r="J1586" s="18"/>
      <c r="K1586" s="184"/>
      <c r="L1586" s="18"/>
    </row>
    <row r="1587" spans="1:12" ht="12" customHeight="1">
      <c r="A1587" s="39" t="str" cm="1">
        <f t="array" ref="A1587">IFERROR(INDEX('03.Muestra'!$B$8:$B$42,SMALL(IF("Página Web"='03.Muestra'!$D$8:$D$42,ROW('03.Muestra'!$B$8:$B$42)-MIN(ROW('03.Muestra'!$D$8:$D$42))+1,""),ROW()-1576)),"")</f>
        <v/>
      </c>
      <c r="B1587" s="85" t="str" cm="1">
        <f t="array" ref="B1587">IFERROR(INDEX('03.Muestra'!$C$8:$C$42,SMALL(IF("Página Web"='03.Muestra'!$D$8:$D$42,ROW('03.Muestra'!$C$8:$C$42)-MIN(ROW('03.Muestra'!$D$8:$D$42))+1,""),ROW()-1576)),"")</f>
        <v/>
      </c>
      <c r="C1587" s="85" t="str" cm="1">
        <f t="array" ref="C1587">IFERROR(INDEX('03.Muestra'!$F$8:$F$42,SMALL(IF("Página Web"='03.Muestra'!$D$8:$D$42,ROW('03.Muestra'!$F$8:$F$42)-MIN(ROW('03.Muestra'!$D$8:$D$42))+1,""),ROW()-1576)),"")</f>
        <v/>
      </c>
      <c r="D1587" s="99" t="str">
        <f t="shared" si="83"/>
        <v/>
      </c>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si="83"/>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Home</v>
      </c>
      <c r="C1615" s="85" t="str" cm="1">
        <f t="array" ref="C1615">IFERROR(INDEX('03.Muestra'!$F$8:$F$42,SMALL(IF("Página Web"='03.Muestra'!$D$8:$D$42,ROW('03.Muestra'!$F$8:$F$42)-MIN(ROW('03.Muestra'!$D$8:$D$42))+1,""),ROW()-1614)),"")</f>
        <v>https://www.comunidad.madrid/hospital/12octubre/</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Ciudadanos</v>
      </c>
      <c r="C1616" s="85" t="str" cm="1">
        <f t="array" ref="C1616">IFERROR(INDEX('03.Muestra'!$F$8:$F$42,SMALL(IF("Página Web"='03.Muestra'!$D$8:$D$42,ROW('03.Muestra'!$F$8:$F$42)-MIN(ROW('03.Muestra'!$D$8:$D$42))+1,""),ROW()-1614)),"")</f>
        <v>https://www.comunidad.madrid/hospital/12octubre/ciudadanos</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9</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Profesionales</v>
      </c>
      <c r="C1617" s="85" t="str" cm="1">
        <f t="array" ref="C1617">IFERROR(INDEX('03.Muestra'!$F$8:$F$42,SMALL(IF("Página Web"='03.Muestra'!$D$8:$D$42,ROW('03.Muestra'!$F$8:$F$42)-MIN(ROW('03.Muestra'!$D$8:$D$42))+1,""),ROW()-1614)),"")</f>
        <v>https://www.comunidad.madrid/hospital/12octubre/profesionales</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Comunicación</v>
      </c>
      <c r="C1618" s="85" t="str" cm="1">
        <f t="array" ref="C1618">IFERROR(INDEX('03.Muestra'!$F$8:$F$42,SMALL(IF("Página Web"='03.Muestra'!$D$8:$D$42,ROW('03.Muestra'!$F$8:$F$42)-MIN(ROW('03.Muestra'!$D$8:$D$42))+1,""),ROW()-1614)),"")</f>
        <v>https://www.comunidad.madrid/hospital/12octubre/comunicación</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Nosotros</v>
      </c>
      <c r="C1619" s="85" t="str" cm="1">
        <f t="array" ref="C1619">IFERROR(INDEX('03.Muestra'!$F$8:$F$42,SMALL(IF("Página Web"='03.Muestra'!$D$8:$D$42,ROW('03.Muestra'!$F$8:$F$42)-MIN(ROW('03.Muestra'!$D$8:$D$42))+1,""),ROW()-1614)),"")</f>
        <v>https://www.comunidad.madrid/hospital/12octubre/nosotros</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Centros de especialidades</v>
      </c>
      <c r="C1620" s="85" t="str" cm="1">
        <f t="array" ref="C1620">IFERROR(INDEX('03.Muestra'!$F$8:$F$42,SMALL(IF("Página Web"='03.Muestra'!$D$8:$D$42,ROW('03.Muestra'!$F$8:$F$42)-MIN(ROW('03.Muestra'!$D$8:$D$42))+1,""),ROW()-1614)),"")</f>
        <v>https://www.comunidad.madrid/hospital/12octubre/nosotros/centros-especialidades-perifericos</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Canal solidario</v>
      </c>
      <c r="C1621" s="85" t="str" cm="1">
        <f t="array" ref="C1621">IFERROR(INDEX('03.Muestra'!$F$8:$F$42,SMALL(IF("Página Web"='03.Muestra'!$D$8:$D$42,ROW('03.Muestra'!$F$8:$F$42)-MIN(ROW('03.Muestra'!$D$8:$D$42))+1,""),ROW()-1614)),"")</f>
        <v>https://www.comunidad.madrid/hospital/12octubre/ciudadanos/canal-solidario</v>
      </c>
      <c r="D1621" s="99" t="s">
        <v>104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Aniversario</v>
      </c>
      <c r="C1622" s="85" t="str" cm="1">
        <f t="array" ref="C1622">IFERROR(INDEX('03.Muestra'!$F$8:$F$42,SMALL(IF("Página Web"='03.Muestra'!$D$8:$D$42,ROW('03.Muestra'!$F$8:$F$42)-MIN(ROW('03.Muestra'!$D$8:$D$42))+1,""),ROW()-1614)),"")</f>
        <v>https://www.comunidad.madrid/hospital/12octubre/50-aniversario</v>
      </c>
      <c r="D1622" s="99" t="s">
        <v>104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Accesibilidad</v>
      </c>
      <c r="C1623" s="85" t="str" cm="1">
        <f t="array" ref="C1623">IFERROR(INDEX('03.Muestra'!$F$8:$F$42,SMALL(IF("Página Web"='03.Muestra'!$D$8:$D$42,ROW('03.Muestra'!$F$8:$F$42)-MIN(ROW('03.Muestra'!$D$8:$D$42))+1,""),ROW()-1614)),"")</f>
        <v>https://www.comunidad.madrid/hospital/12octubre/declaracion-accesibilidad</v>
      </c>
      <c r="D1623" s="99" t="s">
        <v>104</v>
      </c>
      <c r="E1623" s="79" t="str">
        <f t="shared" si="84"/>
        <v/>
      </c>
      <c r="F1623" s="18"/>
      <c r="G1623" s="18"/>
      <c r="H1623" s="18"/>
      <c r="I1623" s="18"/>
      <c r="J1623" s="18"/>
      <c r="K1623" s="184"/>
    </row>
    <row r="1624" spans="1:11" ht="12" customHeight="1">
      <c r="A1624" s="39" t="str" cm="1">
        <f t="array" ref="A1624">IFERROR(INDEX('03.Muestra'!$B$8:$B$42,SMALL(IF("Página Web"='03.Muestra'!$D$8:$D$42,ROW('03.Muestra'!$B$8:$B$42)-MIN(ROW('03.Muestra'!$D$8:$D$42))+1,""),ROW()-1614)),"")</f>
        <v/>
      </c>
      <c r="B1624" s="85" t="str" cm="1">
        <f t="array" ref="B1624">IFERROR(INDEX('03.Muestra'!$C$8:$C$42,SMALL(IF("Página Web"='03.Muestra'!$D$8:$D$42,ROW('03.Muestra'!$C$8:$C$42)-MIN(ROW('03.Muestra'!$D$8:$D$42))+1,""),ROW()-1614)),"")</f>
        <v/>
      </c>
      <c r="C1624" s="85" t="str" cm="1">
        <f t="array" ref="C1624">IFERROR(INDEX('03.Muestra'!$F$8:$F$42,SMALL(IF("Página Web"='03.Muestra'!$D$8:$D$42,ROW('03.Muestra'!$F$8:$F$42)-MIN(ROW('03.Muestra'!$D$8:$D$42))+1,""),ROW()-1614)),"")</f>
        <v/>
      </c>
      <c r="D1624" s="99" t="str">
        <f t="shared" ref="D1624:D1649" si="85">IF(AND(B1624&lt;&gt;"",C1624&lt;&gt;""),"N/T","")</f>
        <v/>
      </c>
      <c r="E1624" s="79" t="str">
        <f t="shared" si="84"/>
        <v/>
      </c>
      <c r="F1624" s="18"/>
      <c r="G1624" s="18"/>
      <c r="H1624" s="18"/>
      <c r="I1624" s="18"/>
      <c r="J1624" s="18"/>
      <c r="K1624" s="184"/>
    </row>
    <row r="1625" spans="1:11" ht="12" customHeight="1">
      <c r="A1625" s="39" t="str" cm="1">
        <f t="array" ref="A1625">IFERROR(INDEX('03.Muestra'!$B$8:$B$42,SMALL(IF("Página Web"='03.Muestra'!$D$8:$D$42,ROW('03.Muestra'!$B$8:$B$42)-MIN(ROW('03.Muestra'!$D$8:$D$42))+1,""),ROW()-1614)),"")</f>
        <v/>
      </c>
      <c r="B1625" s="85" t="str" cm="1">
        <f t="array" ref="B1625">IFERROR(INDEX('03.Muestra'!$C$8:$C$42,SMALL(IF("Página Web"='03.Muestra'!$D$8:$D$42,ROW('03.Muestra'!$C$8:$C$42)-MIN(ROW('03.Muestra'!$D$8:$D$42))+1,""),ROW()-1614)),"")</f>
        <v/>
      </c>
      <c r="C1625" s="85" t="str" cm="1">
        <f t="array" ref="C1625">IFERROR(INDEX('03.Muestra'!$F$8:$F$42,SMALL(IF("Página Web"='03.Muestra'!$D$8:$D$42,ROW('03.Muestra'!$F$8:$F$42)-MIN(ROW('03.Muestra'!$D$8:$D$42))+1,""),ROW()-1614)),"")</f>
        <v/>
      </c>
      <c r="D1625" s="99" t="str">
        <f t="shared" si="85"/>
        <v/>
      </c>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si="85"/>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Home</v>
      </c>
      <c r="C1653" s="85" t="str" cm="1">
        <f t="array" ref="C1653">IFERROR(INDEX('03.Muestra'!$F$8:$F$42,SMALL(IF("Página Web"='03.Muestra'!$D$8:$D$42,ROW('03.Muestra'!$F$8:$F$42)-MIN(ROW('03.Muestra'!$D$8:$D$42))+1,""),ROW()-1652)),"")</f>
        <v>https://www.comunidad.madrid/hospital/12octubre/</v>
      </c>
      <c r="D1653" s="99" t="s">
        <v>104</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Ciudadanos</v>
      </c>
      <c r="C1654" s="85" t="str" cm="1">
        <f t="array" ref="C1654">IFERROR(INDEX('03.Muestra'!$F$8:$F$42,SMALL(IF("Página Web"='03.Muestra'!$D$8:$D$42,ROW('03.Muestra'!$F$8:$F$42)-MIN(ROW('03.Muestra'!$D$8:$D$42))+1,""),ROW()-1652)),"")</f>
        <v>https://www.comunidad.madrid/hospital/12octubre/ciudadanos</v>
      </c>
      <c r="D1654" s="99" t="s">
        <v>104</v>
      </c>
      <c r="E1654" s="79" t="str">
        <f t="shared" si="86"/>
        <v/>
      </c>
      <c r="F1654" s="91">
        <f ca="1">COUNTIF($D1653:INDIRECT("$D" &amp;  SUM(ROW()-1,'03.Muestra'!$D$45)-1),F1653)</f>
        <v>0</v>
      </c>
      <c r="G1654" s="91">
        <f ca="1">COUNTIF($D1653:INDIRECT("$D" &amp;  SUM(ROW()-1,'03.Muestra'!$D$45)-1),G1653)</f>
        <v>0</v>
      </c>
      <c r="H1654" s="91">
        <f ca="1">COUNTIF($D1653:INDIRECT("$D" &amp;  SUM(ROW()-1,'03.Muestra'!$D$45)-1),H1653)</f>
        <v>9</v>
      </c>
      <c r="I1654" s="91">
        <f ca="1">COUNTIF($D1653:INDIRECT("$D" &amp;  SUM(ROW()-1,'03.Muestra'!$D$45)-1),I1653)</f>
        <v>0</v>
      </c>
      <c r="J1654" s="91">
        <f ca="1">COUNTIF($D1653:INDIRECT("$D" &amp;  SUM(ROW()-1,'03.Muestra'!$D$45)-1),J1653)</f>
        <v>0</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Profesionales</v>
      </c>
      <c r="C1655" s="85" t="str" cm="1">
        <f t="array" ref="C1655">IFERROR(INDEX('03.Muestra'!$F$8:$F$42,SMALL(IF("Página Web"='03.Muestra'!$D$8:$D$42,ROW('03.Muestra'!$F$8:$F$42)-MIN(ROW('03.Muestra'!$D$8:$D$42))+1,""),ROW()-1652)),"")</f>
        <v>https://www.comunidad.madrid/hospital/12octubre/profesionales</v>
      </c>
      <c r="D1655" s="99" t="s">
        <v>104</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Comunicación</v>
      </c>
      <c r="C1656" s="85" t="str" cm="1">
        <f t="array" ref="C1656">IFERROR(INDEX('03.Muestra'!$F$8:$F$42,SMALL(IF("Página Web"='03.Muestra'!$D$8:$D$42,ROW('03.Muestra'!$F$8:$F$42)-MIN(ROW('03.Muestra'!$D$8:$D$42))+1,""),ROW()-1652)),"")</f>
        <v>https://www.comunidad.madrid/hospital/12octubre/comunicación</v>
      </c>
      <c r="D1656" s="99" t="s">
        <v>104</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Nosotros</v>
      </c>
      <c r="C1657" s="85" t="str" cm="1">
        <f t="array" ref="C1657">IFERROR(INDEX('03.Muestra'!$F$8:$F$42,SMALL(IF("Página Web"='03.Muestra'!$D$8:$D$42,ROW('03.Muestra'!$F$8:$F$42)-MIN(ROW('03.Muestra'!$D$8:$D$42))+1,""),ROW()-1652)),"")</f>
        <v>https://www.comunidad.madrid/hospital/12octubre/nosotros</v>
      </c>
      <c r="D1657" s="99" t="s">
        <v>104</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Centros de especialidades</v>
      </c>
      <c r="C1658" s="85" t="str" cm="1">
        <f t="array" ref="C1658">IFERROR(INDEX('03.Muestra'!$F$8:$F$42,SMALL(IF("Página Web"='03.Muestra'!$D$8:$D$42,ROW('03.Muestra'!$F$8:$F$42)-MIN(ROW('03.Muestra'!$D$8:$D$42))+1,""),ROW()-1652)),"")</f>
        <v>https://www.comunidad.madrid/hospital/12octubre/nosotros/centros-especialidades-perifericos</v>
      </c>
      <c r="D1658" s="99" t="s">
        <v>104</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Canal solidario</v>
      </c>
      <c r="C1659" s="85" t="str" cm="1">
        <f t="array" ref="C1659">IFERROR(INDEX('03.Muestra'!$F$8:$F$42,SMALL(IF("Página Web"='03.Muestra'!$D$8:$D$42,ROW('03.Muestra'!$F$8:$F$42)-MIN(ROW('03.Muestra'!$D$8:$D$42))+1,""),ROW()-1652)),"")</f>
        <v>https://www.comunidad.madrid/hospital/12octubre/ciudadanos/canal-solidario</v>
      </c>
      <c r="D1659" s="99" t="s">
        <v>104</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Aniversario</v>
      </c>
      <c r="C1660" s="85" t="str" cm="1">
        <f t="array" ref="C1660">IFERROR(INDEX('03.Muestra'!$F$8:$F$42,SMALL(IF("Página Web"='03.Muestra'!$D$8:$D$42,ROW('03.Muestra'!$F$8:$F$42)-MIN(ROW('03.Muestra'!$D$8:$D$42))+1,""),ROW()-1652)),"")</f>
        <v>https://www.comunidad.madrid/hospital/12octubre/50-aniversario</v>
      </c>
      <c r="D1660" s="99" t="s">
        <v>104</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Accesibilidad</v>
      </c>
      <c r="C1661" s="85" t="str" cm="1">
        <f t="array" ref="C1661">IFERROR(INDEX('03.Muestra'!$F$8:$F$42,SMALL(IF("Página Web"='03.Muestra'!$D$8:$D$42,ROW('03.Muestra'!$F$8:$F$42)-MIN(ROW('03.Muestra'!$D$8:$D$42))+1,""),ROW()-1652)),"")</f>
        <v>https://www.comunidad.madrid/hospital/12octubre/declaracion-accesibilidad</v>
      </c>
      <c r="D1661" s="99" t="s">
        <v>104</v>
      </c>
      <c r="E1661" s="79" t="str">
        <f t="shared" si="86"/>
        <v/>
      </c>
      <c r="F1661" s="18"/>
      <c r="G1661" s="18"/>
      <c r="H1661" s="18"/>
      <c r="I1661" s="18"/>
      <c r="J1661" s="18"/>
      <c r="K1661" s="184"/>
    </row>
    <row r="1662" spans="1:11" ht="12" customHeight="1">
      <c r="A1662" s="39" t="str" cm="1">
        <f t="array" ref="A1662">IFERROR(INDEX('03.Muestra'!$B$8:$B$42,SMALL(IF("Página Web"='03.Muestra'!$D$8:$D$42,ROW('03.Muestra'!$B$8:$B$42)-MIN(ROW('03.Muestra'!$D$8:$D$42))+1,""),ROW()-1652)),"")</f>
        <v/>
      </c>
      <c r="B1662" s="85" t="str" cm="1">
        <f t="array" ref="B1662">IFERROR(INDEX('03.Muestra'!$C$8:$C$42,SMALL(IF("Página Web"='03.Muestra'!$D$8:$D$42,ROW('03.Muestra'!$C$8:$C$42)-MIN(ROW('03.Muestra'!$D$8:$D$42))+1,""),ROW()-1652)),"")</f>
        <v/>
      </c>
      <c r="C1662" s="85" t="str" cm="1">
        <f t="array" ref="C1662">IFERROR(INDEX('03.Muestra'!$F$8:$F$42,SMALL(IF("Página Web"='03.Muestra'!$D$8:$D$42,ROW('03.Muestra'!$F$8:$F$42)-MIN(ROW('03.Muestra'!$D$8:$D$42))+1,""),ROW()-1652)),"")</f>
        <v/>
      </c>
      <c r="D1662" s="99" t="str">
        <f t="shared" ref="D1662:D1687" si="87">IF(AND(B1662&lt;&gt;"",C1662&lt;&gt;""),"N/T","")</f>
        <v/>
      </c>
      <c r="E1662" s="79" t="str">
        <f t="shared" si="86"/>
        <v/>
      </c>
      <c r="F1662" s="18"/>
      <c r="G1662" s="18"/>
      <c r="H1662" s="18"/>
      <c r="I1662" s="18"/>
      <c r="J1662" s="18"/>
      <c r="K1662" s="184"/>
    </row>
    <row r="1663" spans="1:11" ht="12" customHeight="1">
      <c r="A1663" s="39" t="str" cm="1">
        <f t="array" ref="A1663">IFERROR(INDEX('03.Muestra'!$B$8:$B$42,SMALL(IF("Página Web"='03.Muestra'!$D$8:$D$42,ROW('03.Muestra'!$B$8:$B$42)-MIN(ROW('03.Muestra'!$D$8:$D$42))+1,""),ROW()-1652)),"")</f>
        <v/>
      </c>
      <c r="B1663" s="85" t="str" cm="1">
        <f t="array" ref="B1663">IFERROR(INDEX('03.Muestra'!$C$8:$C$42,SMALL(IF("Página Web"='03.Muestra'!$D$8:$D$42,ROW('03.Muestra'!$C$8:$C$42)-MIN(ROW('03.Muestra'!$D$8:$D$42))+1,""),ROW()-1652)),"")</f>
        <v/>
      </c>
      <c r="C1663" s="85" t="str" cm="1">
        <f t="array" ref="C1663">IFERROR(INDEX('03.Muestra'!$F$8:$F$42,SMALL(IF("Página Web"='03.Muestra'!$D$8:$D$42,ROW('03.Muestra'!$F$8:$F$42)-MIN(ROW('03.Muestra'!$D$8:$D$42))+1,""),ROW()-1652)),"")</f>
        <v/>
      </c>
      <c r="D1663" s="99" t="str">
        <f t="shared" si="87"/>
        <v/>
      </c>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si="87"/>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Home</v>
      </c>
      <c r="C1691" s="85" t="str" cm="1">
        <f t="array" ref="C1691">IFERROR(INDEX('03.Muestra'!$F$8:$F$42,SMALL(IF("Página Web"='03.Muestra'!$D$8:$D$42,ROW('03.Muestra'!$F$8:$F$42)-MIN(ROW('03.Muestra'!$D$8:$D$42))+1,""),ROW()-1690)),"")</f>
        <v>https://www.comunidad.madrid/hospital/12octubre/</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Ciudadanos</v>
      </c>
      <c r="C1692" s="85" t="str" cm="1">
        <f t="array" ref="C1692">IFERROR(INDEX('03.Muestra'!$F$8:$F$42,SMALL(IF("Página Web"='03.Muestra'!$D$8:$D$42,ROW('03.Muestra'!$F$8:$F$42)-MIN(ROW('03.Muestra'!$D$8:$D$42))+1,""),ROW()-1690)),"")</f>
        <v>https://www.comunidad.madrid/hospital/12octubre/ciudadanos</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9</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Profesionales</v>
      </c>
      <c r="C1693" s="85" t="str" cm="1">
        <f t="array" ref="C1693">IFERROR(INDEX('03.Muestra'!$F$8:$F$42,SMALL(IF("Página Web"='03.Muestra'!$D$8:$D$42,ROW('03.Muestra'!$F$8:$F$42)-MIN(ROW('03.Muestra'!$D$8:$D$42))+1,""),ROW()-1690)),"")</f>
        <v>https://www.comunidad.madrid/hospital/12octubre/profesionales</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Comunicación</v>
      </c>
      <c r="C1694" s="85" t="str" cm="1">
        <f t="array" ref="C1694">IFERROR(INDEX('03.Muestra'!$F$8:$F$42,SMALL(IF("Página Web"='03.Muestra'!$D$8:$D$42,ROW('03.Muestra'!$F$8:$F$42)-MIN(ROW('03.Muestra'!$D$8:$D$42))+1,""),ROW()-1690)),"")</f>
        <v>https://www.comunidad.madrid/hospital/12octubre/comunicación</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Nosotros</v>
      </c>
      <c r="C1695" s="85" t="str" cm="1">
        <f t="array" ref="C1695">IFERROR(INDEX('03.Muestra'!$F$8:$F$42,SMALL(IF("Página Web"='03.Muestra'!$D$8:$D$42,ROW('03.Muestra'!$F$8:$F$42)-MIN(ROW('03.Muestra'!$D$8:$D$42))+1,""),ROW()-1690)),"")</f>
        <v>https://www.comunidad.madrid/hospital/12octubre/nosotros</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Centros de especialidades</v>
      </c>
      <c r="C1696" s="85" t="str" cm="1">
        <f t="array" ref="C1696">IFERROR(INDEX('03.Muestra'!$F$8:$F$42,SMALL(IF("Página Web"='03.Muestra'!$D$8:$D$42,ROW('03.Muestra'!$F$8:$F$42)-MIN(ROW('03.Muestra'!$D$8:$D$42))+1,""),ROW()-1690)),"")</f>
        <v>https://www.comunidad.madrid/hospital/12octubre/nosotros/centros-especialidades-perifericos</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Canal solidario</v>
      </c>
      <c r="C1697" s="85" t="str" cm="1">
        <f t="array" ref="C1697">IFERROR(INDEX('03.Muestra'!$F$8:$F$42,SMALL(IF("Página Web"='03.Muestra'!$D$8:$D$42,ROW('03.Muestra'!$F$8:$F$42)-MIN(ROW('03.Muestra'!$D$8:$D$42))+1,""),ROW()-1690)),"")</f>
        <v>https://www.comunidad.madrid/hospital/12octubre/ciudadanos/canal-solidario</v>
      </c>
      <c r="D1697" s="99" t="s">
        <v>104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Aniversario</v>
      </c>
      <c r="C1698" s="85" t="str" cm="1">
        <f t="array" ref="C1698">IFERROR(INDEX('03.Muestra'!$F$8:$F$42,SMALL(IF("Página Web"='03.Muestra'!$D$8:$D$42,ROW('03.Muestra'!$F$8:$F$42)-MIN(ROW('03.Muestra'!$D$8:$D$42))+1,""),ROW()-1690)),"")</f>
        <v>https://www.comunidad.madrid/hospital/12octubre/50-aniversario</v>
      </c>
      <c r="D1698" s="99" t="s">
        <v>104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Accesibilidad</v>
      </c>
      <c r="C1699" s="85" t="str" cm="1">
        <f t="array" ref="C1699">IFERROR(INDEX('03.Muestra'!$F$8:$F$42,SMALL(IF("Página Web"='03.Muestra'!$D$8:$D$42,ROW('03.Muestra'!$F$8:$F$42)-MIN(ROW('03.Muestra'!$D$8:$D$42))+1,""),ROW()-1690)),"")</f>
        <v>https://www.comunidad.madrid/hospital/12octubre/declaracion-accesibilidad</v>
      </c>
      <c r="D1699" s="99" t="s">
        <v>104</v>
      </c>
      <c r="E1699" s="79" t="str">
        <f t="shared" si="88"/>
        <v/>
      </c>
      <c r="F1699" s="18"/>
      <c r="G1699" s="18"/>
      <c r="H1699" s="18"/>
      <c r="I1699" s="18"/>
      <c r="J1699" s="18"/>
      <c r="K1699" s="184"/>
    </row>
    <row r="1700" spans="1:11" ht="12" customHeight="1">
      <c r="A1700" s="39" t="str" cm="1">
        <f t="array" ref="A1700">IFERROR(INDEX('03.Muestra'!$B$8:$B$42,SMALL(IF("Página Web"='03.Muestra'!$D$8:$D$42,ROW('03.Muestra'!$B$8:$B$42)-MIN(ROW('03.Muestra'!$D$8:$D$42))+1,""),ROW()-1690)),"")</f>
        <v/>
      </c>
      <c r="B1700" s="85" t="str" cm="1">
        <f t="array" ref="B1700">IFERROR(INDEX('03.Muestra'!$C$8:$C$42,SMALL(IF("Página Web"='03.Muestra'!$D$8:$D$42,ROW('03.Muestra'!$C$8:$C$42)-MIN(ROW('03.Muestra'!$D$8:$D$42))+1,""),ROW()-1690)),"")</f>
        <v/>
      </c>
      <c r="C1700" s="85" t="str" cm="1">
        <f t="array" ref="C1700">IFERROR(INDEX('03.Muestra'!$F$8:$F$42,SMALL(IF("Página Web"='03.Muestra'!$D$8:$D$42,ROW('03.Muestra'!$F$8:$F$42)-MIN(ROW('03.Muestra'!$D$8:$D$42))+1,""),ROW()-1690)),"")</f>
        <v/>
      </c>
      <c r="D1700" s="99" t="str">
        <f t="shared" ref="D1700:D1725" si="89">IF(AND(B1700&lt;&gt;"",C1700&lt;&gt;""),"N/T","")</f>
        <v/>
      </c>
      <c r="E1700" s="79" t="str">
        <f t="shared" si="88"/>
        <v/>
      </c>
      <c r="F1700" s="18"/>
      <c r="G1700" s="18"/>
      <c r="H1700" s="18"/>
      <c r="I1700" s="18"/>
      <c r="J1700" s="18"/>
      <c r="K1700" s="184"/>
    </row>
    <row r="1701" spans="1:11" ht="12" customHeight="1">
      <c r="A1701" s="39" t="str" cm="1">
        <f t="array" ref="A1701">IFERROR(INDEX('03.Muestra'!$B$8:$B$42,SMALL(IF("Página Web"='03.Muestra'!$D$8:$D$42,ROW('03.Muestra'!$B$8:$B$42)-MIN(ROW('03.Muestra'!$D$8:$D$42))+1,""),ROW()-1690)),"")</f>
        <v/>
      </c>
      <c r="B1701" s="85" t="str" cm="1">
        <f t="array" ref="B1701">IFERROR(INDEX('03.Muestra'!$C$8:$C$42,SMALL(IF("Página Web"='03.Muestra'!$D$8:$D$42,ROW('03.Muestra'!$C$8:$C$42)-MIN(ROW('03.Muestra'!$D$8:$D$42))+1,""),ROW()-1690)),"")</f>
        <v/>
      </c>
      <c r="C1701" s="85" t="str" cm="1">
        <f t="array" ref="C1701">IFERROR(INDEX('03.Muestra'!$F$8:$F$42,SMALL(IF("Página Web"='03.Muestra'!$D$8:$D$42,ROW('03.Muestra'!$F$8:$F$42)-MIN(ROW('03.Muestra'!$D$8:$D$42))+1,""),ROW()-1690)),"")</f>
        <v/>
      </c>
      <c r="D1701" s="99" t="str">
        <f t="shared" si="89"/>
        <v/>
      </c>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si="89"/>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Home</v>
      </c>
      <c r="C1729" s="85" t="str" cm="1">
        <f t="array" ref="C1729">IFERROR(INDEX('03.Muestra'!$F$8:$F$42,SMALL(IF("Página Web"='03.Muestra'!$D$8:$D$42,ROW('03.Muestra'!$F$8:$F$42)-MIN(ROW('03.Muestra'!$D$8:$D$42))+1,""),ROW()-1728)),"")</f>
        <v>https://www.comunidad.madrid/hospital/12octubre/</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Ciudadanos</v>
      </c>
      <c r="C1730" s="85" t="str" cm="1">
        <f t="array" ref="C1730">IFERROR(INDEX('03.Muestra'!$F$8:$F$42,SMALL(IF("Página Web"='03.Muestra'!$D$8:$D$42,ROW('03.Muestra'!$F$8:$F$42)-MIN(ROW('03.Muestra'!$D$8:$D$42))+1,""),ROW()-1728)),"")</f>
        <v>https://www.comunidad.madrid/hospital/12octubre/ciudadanos</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9</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Profesionales</v>
      </c>
      <c r="C1731" s="85" t="str" cm="1">
        <f t="array" ref="C1731">IFERROR(INDEX('03.Muestra'!$F$8:$F$42,SMALL(IF("Página Web"='03.Muestra'!$D$8:$D$42,ROW('03.Muestra'!$F$8:$F$42)-MIN(ROW('03.Muestra'!$D$8:$D$42))+1,""),ROW()-1728)),"")</f>
        <v>https://www.comunidad.madrid/hospital/12octubre/profesionales</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Comunicación</v>
      </c>
      <c r="C1732" s="85" t="str" cm="1">
        <f t="array" ref="C1732">IFERROR(INDEX('03.Muestra'!$F$8:$F$42,SMALL(IF("Página Web"='03.Muestra'!$D$8:$D$42,ROW('03.Muestra'!$F$8:$F$42)-MIN(ROW('03.Muestra'!$D$8:$D$42))+1,""),ROW()-1728)),"")</f>
        <v>https://www.comunidad.madrid/hospital/12octubre/comunicación</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Nosotros</v>
      </c>
      <c r="C1733" s="85" t="str" cm="1">
        <f t="array" ref="C1733">IFERROR(INDEX('03.Muestra'!$F$8:$F$42,SMALL(IF("Página Web"='03.Muestra'!$D$8:$D$42,ROW('03.Muestra'!$F$8:$F$42)-MIN(ROW('03.Muestra'!$D$8:$D$42))+1,""),ROW()-1728)),"")</f>
        <v>https://www.comunidad.madrid/hospital/12octubre/nosotros</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Centros de especialidades</v>
      </c>
      <c r="C1734" s="85" t="str" cm="1">
        <f t="array" ref="C1734">IFERROR(INDEX('03.Muestra'!$F$8:$F$42,SMALL(IF("Página Web"='03.Muestra'!$D$8:$D$42,ROW('03.Muestra'!$F$8:$F$42)-MIN(ROW('03.Muestra'!$D$8:$D$42))+1,""),ROW()-1728)),"")</f>
        <v>https://www.comunidad.madrid/hospital/12octubre/nosotros/centros-especialidades-perifericos</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Canal solidario</v>
      </c>
      <c r="C1735" s="85" t="str" cm="1">
        <f t="array" ref="C1735">IFERROR(INDEX('03.Muestra'!$F$8:$F$42,SMALL(IF("Página Web"='03.Muestra'!$D$8:$D$42,ROW('03.Muestra'!$F$8:$F$42)-MIN(ROW('03.Muestra'!$D$8:$D$42))+1,""),ROW()-1728)),"")</f>
        <v>https://www.comunidad.madrid/hospital/12octubre/ciudadanos/canal-solidario</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Aniversario</v>
      </c>
      <c r="C1736" s="85" t="str" cm="1">
        <f t="array" ref="C1736">IFERROR(INDEX('03.Muestra'!$F$8:$F$42,SMALL(IF("Página Web"='03.Muestra'!$D$8:$D$42,ROW('03.Muestra'!$F$8:$F$42)-MIN(ROW('03.Muestra'!$D$8:$D$42))+1,""),ROW()-1728)),"")</f>
        <v>https://www.comunidad.madrid/hospital/12octubre/50-aniversario</v>
      </c>
      <c r="D1736" s="99" t="s">
        <v>104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Accesibilidad</v>
      </c>
      <c r="C1737" s="85" t="str" cm="1">
        <f t="array" ref="C1737">IFERROR(INDEX('03.Muestra'!$F$8:$F$42,SMALL(IF("Página Web"='03.Muestra'!$D$8:$D$42,ROW('03.Muestra'!$F$8:$F$42)-MIN(ROW('03.Muestra'!$D$8:$D$42))+1,""),ROW()-1728)),"")</f>
        <v>https://www.comunidad.madrid/hospital/12octubre/declaracion-accesibilidad</v>
      </c>
      <c r="D1737" s="99" t="s">
        <v>104</v>
      </c>
      <c r="E1737" s="79" t="str">
        <f t="shared" si="90"/>
        <v/>
      </c>
      <c r="F1737" s="18"/>
      <c r="G1737" s="18"/>
      <c r="H1737" s="18"/>
      <c r="I1737" s="18"/>
      <c r="J1737" s="18"/>
      <c r="K1737" s="184"/>
    </row>
    <row r="1738" spans="1:11" ht="12" customHeight="1">
      <c r="A1738" s="39" t="str" cm="1">
        <f t="array" ref="A1738">IFERROR(INDEX('03.Muestra'!$B$8:$B$42,SMALL(IF("Página Web"='03.Muestra'!$D$8:$D$42,ROW('03.Muestra'!$B$8:$B$42)-MIN(ROW('03.Muestra'!$D$8:$D$42))+1,""),ROW()-1728)),"")</f>
        <v/>
      </c>
      <c r="B1738" s="85" t="str" cm="1">
        <f t="array" ref="B1738">IFERROR(INDEX('03.Muestra'!$C$8:$C$42,SMALL(IF("Página Web"='03.Muestra'!$D$8:$D$42,ROW('03.Muestra'!$C$8:$C$42)-MIN(ROW('03.Muestra'!$D$8:$D$42))+1,""),ROW()-1728)),"")</f>
        <v/>
      </c>
      <c r="C1738" s="85" t="str" cm="1">
        <f t="array" ref="C1738">IFERROR(INDEX('03.Muestra'!$F$8:$F$42,SMALL(IF("Página Web"='03.Muestra'!$D$8:$D$42,ROW('03.Muestra'!$F$8:$F$42)-MIN(ROW('03.Muestra'!$D$8:$D$42))+1,""),ROW()-1728)),"")</f>
        <v/>
      </c>
      <c r="D1738" s="99" t="str">
        <f t="shared" ref="D1738:D1763" si="91">IF(AND(B1738&lt;&gt;"",C1738&lt;&gt;""),"N/T","")</f>
        <v/>
      </c>
      <c r="E1738" s="79" t="str">
        <f t="shared" si="90"/>
        <v/>
      </c>
      <c r="F1738" s="18"/>
      <c r="G1738" s="18"/>
      <c r="H1738" s="18"/>
      <c r="I1738" s="18"/>
      <c r="J1738" s="18"/>
      <c r="K1738" s="184"/>
    </row>
    <row r="1739" spans="1:11" ht="12" customHeight="1">
      <c r="A1739" s="39" t="str" cm="1">
        <f t="array" ref="A1739">IFERROR(INDEX('03.Muestra'!$B$8:$B$42,SMALL(IF("Página Web"='03.Muestra'!$D$8:$D$42,ROW('03.Muestra'!$B$8:$B$42)-MIN(ROW('03.Muestra'!$D$8:$D$42))+1,""),ROW()-1728)),"")</f>
        <v/>
      </c>
      <c r="B1739" s="85" t="str" cm="1">
        <f t="array" ref="B1739">IFERROR(INDEX('03.Muestra'!$C$8:$C$42,SMALL(IF("Página Web"='03.Muestra'!$D$8:$D$42,ROW('03.Muestra'!$C$8:$C$42)-MIN(ROW('03.Muestra'!$D$8:$D$42))+1,""),ROW()-1728)),"")</f>
        <v/>
      </c>
      <c r="C1739" s="85" t="str" cm="1">
        <f t="array" ref="C1739">IFERROR(INDEX('03.Muestra'!$F$8:$F$42,SMALL(IF("Página Web"='03.Muestra'!$D$8:$D$42,ROW('03.Muestra'!$F$8:$F$42)-MIN(ROW('03.Muestra'!$D$8:$D$42))+1,""),ROW()-1728)),"")</f>
        <v/>
      </c>
      <c r="D1739" s="99" t="str">
        <f t="shared" si="91"/>
        <v/>
      </c>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si="91"/>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Home</v>
      </c>
      <c r="C1767" s="85" t="str" cm="1">
        <f t="array" ref="C1767">IFERROR(INDEX('03.Muestra'!$F$8:$F$42,SMALL(IF("Página Web"='03.Muestra'!$D$8:$D$42,ROW('03.Muestra'!$F$8:$F$42)-MIN(ROW('03.Muestra'!$D$8:$D$42))+1,""),ROW()-1766)),"")</f>
        <v>https://www.comunidad.madrid/hospital/12octubre/</v>
      </c>
      <c r="D1767" s="99" t="s">
        <v>92</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Ciudadanos</v>
      </c>
      <c r="C1768" s="85" t="str" cm="1">
        <f t="array" ref="C1768">IFERROR(INDEX('03.Muestra'!$F$8:$F$42,SMALL(IF("Página Web"='03.Muestra'!$D$8:$D$42,ROW('03.Muestra'!$F$8:$F$42)-MIN(ROW('03.Muestra'!$D$8:$D$42))+1,""),ROW()-1766)),"")</f>
        <v>https://www.comunidad.madrid/hospital/12octubre/ciudadanos</v>
      </c>
      <c r="D1768" s="99" t="s">
        <v>92</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9</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Profesionales</v>
      </c>
      <c r="C1769" s="85" t="str" cm="1">
        <f t="array" ref="C1769">IFERROR(INDEX('03.Muestra'!$F$8:$F$42,SMALL(IF("Página Web"='03.Muestra'!$D$8:$D$42,ROW('03.Muestra'!$F$8:$F$42)-MIN(ROW('03.Muestra'!$D$8:$D$42))+1,""),ROW()-1766)),"")</f>
        <v>https://www.comunidad.madrid/hospital/12octubre/profesionales</v>
      </c>
      <c r="D1769" s="99" t="s">
        <v>92</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Comunicación</v>
      </c>
      <c r="C1770" s="85" t="str" cm="1">
        <f t="array" ref="C1770">IFERROR(INDEX('03.Muestra'!$F$8:$F$42,SMALL(IF("Página Web"='03.Muestra'!$D$8:$D$42,ROW('03.Muestra'!$F$8:$F$42)-MIN(ROW('03.Muestra'!$D$8:$D$42))+1,""),ROW()-1766)),"")</f>
        <v>https://www.comunidad.madrid/hospital/12octubre/comunicación</v>
      </c>
      <c r="D1770" s="99" t="s">
        <v>92</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Nosotros</v>
      </c>
      <c r="C1771" s="85" t="str" cm="1">
        <f t="array" ref="C1771">IFERROR(INDEX('03.Muestra'!$F$8:$F$42,SMALL(IF("Página Web"='03.Muestra'!$D$8:$D$42,ROW('03.Muestra'!$F$8:$F$42)-MIN(ROW('03.Muestra'!$D$8:$D$42))+1,""),ROW()-1766)),"")</f>
        <v>https://www.comunidad.madrid/hospital/12octubre/nosotros</v>
      </c>
      <c r="D1771" s="99" t="s">
        <v>92</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Centros de especialidades</v>
      </c>
      <c r="C1772" s="85" t="str" cm="1">
        <f t="array" ref="C1772">IFERROR(INDEX('03.Muestra'!$F$8:$F$42,SMALL(IF("Página Web"='03.Muestra'!$D$8:$D$42,ROW('03.Muestra'!$F$8:$F$42)-MIN(ROW('03.Muestra'!$D$8:$D$42))+1,""),ROW()-1766)),"")</f>
        <v>https://www.comunidad.madrid/hospital/12octubre/nosotros/centros-especialidades-perifericos</v>
      </c>
      <c r="D1772" s="99" t="s">
        <v>92</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Canal solidario</v>
      </c>
      <c r="C1773" s="85" t="str" cm="1">
        <f t="array" ref="C1773">IFERROR(INDEX('03.Muestra'!$F$8:$F$42,SMALL(IF("Página Web"='03.Muestra'!$D$8:$D$42,ROW('03.Muestra'!$F$8:$F$42)-MIN(ROW('03.Muestra'!$D$8:$D$42))+1,""),ROW()-1766)),"")</f>
        <v>https://www.comunidad.madrid/hospital/12octubre/ciudadanos/canal-solidario</v>
      </c>
      <c r="D1773" s="99" t="s">
        <v>92</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Aniversario</v>
      </c>
      <c r="C1774" s="85" t="str" cm="1">
        <f t="array" ref="C1774">IFERROR(INDEX('03.Muestra'!$F$8:$F$42,SMALL(IF("Página Web"='03.Muestra'!$D$8:$D$42,ROW('03.Muestra'!$F$8:$F$42)-MIN(ROW('03.Muestra'!$D$8:$D$42))+1,""),ROW()-1766)),"")</f>
        <v>https://www.comunidad.madrid/hospital/12octubre/50-aniversario</v>
      </c>
      <c r="D1774" s="99" t="s">
        <v>92</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Accesibilidad</v>
      </c>
      <c r="C1775" s="85" t="str" cm="1">
        <f t="array" ref="C1775">IFERROR(INDEX('03.Muestra'!$F$8:$F$42,SMALL(IF("Página Web"='03.Muestra'!$D$8:$D$42,ROW('03.Muestra'!$F$8:$F$42)-MIN(ROW('03.Muestra'!$D$8:$D$42))+1,""),ROW()-1766)),"")</f>
        <v>https://www.comunidad.madrid/hospital/12octubre/declaracion-accesibilidad</v>
      </c>
      <c r="D1775" s="99" t="s">
        <v>92</v>
      </c>
      <c r="E1775" s="79" t="str">
        <f t="shared" si="92"/>
        <v/>
      </c>
      <c r="F1775" s="18"/>
      <c r="G1775" s="18"/>
      <c r="H1775" s="18"/>
      <c r="I1775" s="18"/>
      <c r="J1775" s="18"/>
      <c r="K1775" s="184"/>
    </row>
    <row r="1776" spans="1:11" ht="12" customHeight="1">
      <c r="A1776" s="39" t="str" cm="1">
        <f t="array" ref="A1776">IFERROR(INDEX('03.Muestra'!$B$8:$B$42,SMALL(IF("Página Web"='03.Muestra'!$D$8:$D$42,ROW('03.Muestra'!$B$8:$B$42)-MIN(ROW('03.Muestra'!$D$8:$D$42))+1,""),ROW()-1766)),"")</f>
        <v/>
      </c>
      <c r="B1776" s="85" t="str" cm="1">
        <f t="array" ref="B1776">IFERROR(INDEX('03.Muestra'!$C$8:$C$42,SMALL(IF("Página Web"='03.Muestra'!$D$8:$D$42,ROW('03.Muestra'!$C$8:$C$42)-MIN(ROW('03.Muestra'!$D$8:$D$42))+1,""),ROW()-1766)),"")</f>
        <v/>
      </c>
      <c r="C1776" s="85" t="str" cm="1">
        <f t="array" ref="C1776">IFERROR(INDEX('03.Muestra'!$F$8:$F$42,SMALL(IF("Página Web"='03.Muestra'!$D$8:$D$42,ROW('03.Muestra'!$F$8:$F$42)-MIN(ROW('03.Muestra'!$D$8:$D$42))+1,""),ROW()-1766)),"")</f>
        <v/>
      </c>
      <c r="D1776" s="99" t="str">
        <f t="shared" ref="D1776:D1801" si="93">IF(AND(B1776&lt;&gt;"",C1776&lt;&gt;""),"N/T","")</f>
        <v/>
      </c>
      <c r="E1776" s="79" t="str">
        <f t="shared" si="92"/>
        <v/>
      </c>
      <c r="F1776" s="18"/>
      <c r="G1776" s="18"/>
      <c r="H1776" s="18"/>
      <c r="I1776" s="18"/>
      <c r="J1776" s="18"/>
      <c r="K1776" s="184"/>
    </row>
    <row r="1777" spans="1:11" ht="12" customHeight="1">
      <c r="A1777" s="39" t="str" cm="1">
        <f t="array" ref="A1777">IFERROR(INDEX('03.Muestra'!$B$8:$B$42,SMALL(IF("Página Web"='03.Muestra'!$D$8:$D$42,ROW('03.Muestra'!$B$8:$B$42)-MIN(ROW('03.Muestra'!$D$8:$D$42))+1,""),ROW()-1766)),"")</f>
        <v/>
      </c>
      <c r="B1777" s="85" t="str" cm="1">
        <f t="array" ref="B1777">IFERROR(INDEX('03.Muestra'!$C$8:$C$42,SMALL(IF("Página Web"='03.Muestra'!$D$8:$D$42,ROW('03.Muestra'!$C$8:$C$42)-MIN(ROW('03.Muestra'!$D$8:$D$42))+1,""),ROW()-1766)),"")</f>
        <v/>
      </c>
      <c r="C1777" s="85" t="str" cm="1">
        <f t="array" ref="C1777">IFERROR(INDEX('03.Muestra'!$F$8:$F$42,SMALL(IF("Página Web"='03.Muestra'!$D$8:$D$42,ROW('03.Muestra'!$F$8:$F$42)-MIN(ROW('03.Muestra'!$D$8:$D$42))+1,""),ROW()-1766)),"")</f>
        <v/>
      </c>
      <c r="D1777" s="99" t="str">
        <f t="shared" si="93"/>
        <v/>
      </c>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si="93"/>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Home</v>
      </c>
      <c r="C1805" s="85" t="str" cm="1">
        <f t="array" ref="C1805">IFERROR(INDEX('03.Muestra'!$F$8:$F$42,SMALL(IF("Página Web"='03.Muestra'!$D$8:$D$42,ROW('03.Muestra'!$F$8:$F$42)-MIN(ROW('03.Muestra'!$D$8:$D$42))+1,""),ROW()-1804)),"")</f>
        <v>https://www.comunidad.madrid/hospital/12octubre/</v>
      </c>
      <c r="D1805" s="99" t="s">
        <v>94</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Ciudadanos</v>
      </c>
      <c r="C1806" s="85" t="str" cm="1">
        <f t="array" ref="C1806">IFERROR(INDEX('03.Muestra'!$F$8:$F$42,SMALL(IF("Página Web"='03.Muestra'!$D$8:$D$42,ROW('03.Muestra'!$F$8:$F$42)-MIN(ROW('03.Muestra'!$D$8:$D$42))+1,""),ROW()-1804)),"")</f>
        <v>https://www.comunidad.madrid/hospital/12octubre/ciudadanos</v>
      </c>
      <c r="D1806" s="99" t="s">
        <v>92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2</v>
      </c>
      <c r="J1806" s="91">
        <f ca="1">COUNTIF($D1805:INDIRECT("$D" &amp;  SUM(ROW()-1,'03.Muestra'!$D$45)-1),J1805)</f>
        <v>7</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Profesionales</v>
      </c>
      <c r="C1807" s="85" t="str" cm="1">
        <f t="array" ref="C1807">IFERROR(INDEX('03.Muestra'!$F$8:$F$42,SMALL(IF("Página Web"='03.Muestra'!$D$8:$D$42,ROW('03.Muestra'!$F$8:$F$42)-MIN(ROW('03.Muestra'!$D$8:$D$42))+1,""),ROW()-1804)),"")</f>
        <v>https://www.comunidad.madrid/hospital/12octubre/profesionales</v>
      </c>
      <c r="D1807" s="99" t="s">
        <v>92</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Comunicación</v>
      </c>
      <c r="C1808" s="85" t="str" cm="1">
        <f t="array" ref="C1808">IFERROR(INDEX('03.Muestra'!$F$8:$F$42,SMALL(IF("Página Web"='03.Muestra'!$D$8:$D$42,ROW('03.Muestra'!$F$8:$F$42)-MIN(ROW('03.Muestra'!$D$8:$D$42))+1,""),ROW()-1804)),"")</f>
        <v>https://www.comunidad.madrid/hospital/12octubre/comunicación</v>
      </c>
      <c r="D1808" s="99" t="s">
        <v>92</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Nosotros</v>
      </c>
      <c r="C1809" s="85" t="str" cm="1">
        <f t="array" ref="C1809">IFERROR(INDEX('03.Muestra'!$F$8:$F$42,SMALL(IF("Página Web"='03.Muestra'!$D$8:$D$42,ROW('03.Muestra'!$F$8:$F$42)-MIN(ROW('03.Muestra'!$D$8:$D$42))+1,""),ROW()-1804)),"")</f>
        <v>https://www.comunidad.madrid/hospital/12octubre/nosotros</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Centros de especialidades</v>
      </c>
      <c r="C1810" s="85" t="str" cm="1">
        <f t="array" ref="C1810">IFERROR(INDEX('03.Muestra'!$F$8:$F$42,SMALL(IF("Página Web"='03.Muestra'!$D$8:$D$42,ROW('03.Muestra'!$F$8:$F$42)-MIN(ROW('03.Muestra'!$D$8:$D$42))+1,""),ROW()-1804)),"")</f>
        <v>https://www.comunidad.madrid/hospital/12octubre/nosotros/centros-especialidades-perifericos</v>
      </c>
      <c r="D1810" s="99" t="s">
        <v>94</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Canal solidario</v>
      </c>
      <c r="C1811" s="85" t="str" cm="1">
        <f t="array" ref="C1811">IFERROR(INDEX('03.Muestra'!$F$8:$F$42,SMALL(IF("Página Web"='03.Muestra'!$D$8:$D$42,ROW('03.Muestra'!$F$8:$F$42)-MIN(ROW('03.Muestra'!$D$8:$D$42))+1,""),ROW()-1804)),"")</f>
        <v>https://www.comunidad.madrid/hospital/12octubre/ciudadanos/canal-solidario</v>
      </c>
      <c r="D1811" s="99" t="s">
        <v>92</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Aniversario</v>
      </c>
      <c r="C1812" s="85" t="str" cm="1">
        <f t="array" ref="C1812">IFERROR(INDEX('03.Muestra'!$F$8:$F$42,SMALL(IF("Página Web"='03.Muestra'!$D$8:$D$42,ROW('03.Muestra'!$F$8:$F$42)-MIN(ROW('03.Muestra'!$D$8:$D$42))+1,""),ROW()-1804)),"")</f>
        <v>https://www.comunidad.madrid/hospital/12octubre/50-aniversario</v>
      </c>
      <c r="D1812" s="99" t="s">
        <v>92</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Accesibilidad</v>
      </c>
      <c r="C1813" s="85" t="str" cm="1">
        <f t="array" ref="C1813">IFERROR(INDEX('03.Muestra'!$F$8:$F$42,SMALL(IF("Página Web"='03.Muestra'!$D$8:$D$42,ROW('03.Muestra'!$F$8:$F$42)-MIN(ROW('03.Muestra'!$D$8:$D$42))+1,""),ROW()-1804)),"")</f>
        <v>https://www.comunidad.madrid/hospital/12octubre/declaracion-accesibilidad</v>
      </c>
      <c r="D1813" s="99" t="s">
        <v>92</v>
      </c>
      <c r="E1813" s="79" t="str">
        <f t="shared" si="94"/>
        <v/>
      </c>
      <c r="F1813" s="18"/>
      <c r="G1813" s="18"/>
      <c r="H1813" s="18"/>
      <c r="I1813" s="18"/>
      <c r="J1813" s="18"/>
      <c r="K1813" s="184"/>
    </row>
    <row r="1814" spans="1:11" ht="12" customHeight="1">
      <c r="A1814" s="39" t="str" cm="1">
        <f t="array" ref="A1814">IFERROR(INDEX('03.Muestra'!$B$8:$B$42,SMALL(IF("Página Web"='03.Muestra'!$D$8:$D$42,ROW('03.Muestra'!$B$8:$B$42)-MIN(ROW('03.Muestra'!$D$8:$D$42))+1,""),ROW()-1804)),"")</f>
        <v/>
      </c>
      <c r="B1814" s="85" t="str" cm="1">
        <f t="array" ref="B1814">IFERROR(INDEX('03.Muestra'!$C$8:$C$42,SMALL(IF("Página Web"='03.Muestra'!$D$8:$D$42,ROW('03.Muestra'!$C$8:$C$42)-MIN(ROW('03.Muestra'!$D$8:$D$42))+1,""),ROW()-1804)),"")</f>
        <v/>
      </c>
      <c r="C1814" s="85" t="str" cm="1">
        <f t="array" ref="C1814">IFERROR(INDEX('03.Muestra'!$F$8:$F$42,SMALL(IF("Página Web"='03.Muestra'!$D$8:$D$42,ROW('03.Muestra'!$F$8:$F$42)-MIN(ROW('03.Muestra'!$D$8:$D$42))+1,""),ROW()-1804)),"")</f>
        <v/>
      </c>
      <c r="D1814" s="99" t="str">
        <f t="shared" ref="D1814:D1839" si="95">IF(AND(B1814&lt;&gt;"",C1814&lt;&gt;""),"N/T","")</f>
        <v/>
      </c>
      <c r="E1814" s="79" t="str">
        <f t="shared" si="94"/>
        <v/>
      </c>
      <c r="F1814" s="18"/>
      <c r="G1814" s="18"/>
      <c r="H1814" s="18"/>
      <c r="I1814" s="18"/>
      <c r="J1814" s="18"/>
      <c r="K1814" s="184"/>
    </row>
    <row r="1815" spans="1:11" ht="12" customHeight="1">
      <c r="A1815" s="39" t="str" cm="1">
        <f t="array" ref="A1815">IFERROR(INDEX('03.Muestra'!$B$8:$B$42,SMALL(IF("Página Web"='03.Muestra'!$D$8:$D$42,ROW('03.Muestra'!$B$8:$B$42)-MIN(ROW('03.Muestra'!$D$8:$D$42))+1,""),ROW()-1804)),"")</f>
        <v/>
      </c>
      <c r="B1815" s="85" t="str" cm="1">
        <f t="array" ref="B1815">IFERROR(INDEX('03.Muestra'!$C$8:$C$42,SMALL(IF("Página Web"='03.Muestra'!$D$8:$D$42,ROW('03.Muestra'!$C$8:$C$42)-MIN(ROW('03.Muestra'!$D$8:$D$42))+1,""),ROW()-1804)),"")</f>
        <v/>
      </c>
      <c r="C1815" s="85" t="str" cm="1">
        <f t="array" ref="C1815">IFERROR(INDEX('03.Muestra'!$F$8:$F$42,SMALL(IF("Página Web"='03.Muestra'!$D$8:$D$42,ROW('03.Muestra'!$F$8:$F$42)-MIN(ROW('03.Muestra'!$D$8:$D$42))+1,""),ROW()-1804)),"")</f>
        <v/>
      </c>
      <c r="D1815" s="99" t="str">
        <f t="shared" si="95"/>
        <v/>
      </c>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si="95"/>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Home</v>
      </c>
      <c r="C1843" s="85" t="str" cm="1">
        <f t="array" ref="C1843">IFERROR(INDEX('03.Muestra'!$F$8:$F$42,SMALL(IF("Página Web"='03.Muestra'!$D$8:$D$42,ROW('03.Muestra'!$F$8:$F$42)-MIN(ROW('03.Muestra'!$D$8:$D$42))+1,""),ROW()-1842)),"")</f>
        <v>https://www.comunidad.madrid/hospital/12octubre/</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Ciudadanos</v>
      </c>
      <c r="C1844" s="85" t="str" cm="1">
        <f t="array" ref="C1844">IFERROR(INDEX('03.Muestra'!$F$8:$F$42,SMALL(IF("Página Web"='03.Muestra'!$D$8:$D$42,ROW('03.Muestra'!$F$8:$F$42)-MIN(ROW('03.Muestra'!$D$8:$D$42))+1,""),ROW()-1842)),"")</f>
        <v>https://www.comunidad.madrid/hospital/12octubre/ciudadanos</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9</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Profesionales</v>
      </c>
      <c r="C1845" s="85" t="str" cm="1">
        <f t="array" ref="C1845">IFERROR(INDEX('03.Muestra'!$F$8:$F$42,SMALL(IF("Página Web"='03.Muestra'!$D$8:$D$42,ROW('03.Muestra'!$F$8:$F$42)-MIN(ROW('03.Muestra'!$D$8:$D$42))+1,""),ROW()-1842)),"")</f>
        <v>https://www.comunidad.madrid/hospital/12octubre/profesionales</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Comunicación</v>
      </c>
      <c r="C1846" s="85" t="str" cm="1">
        <f t="array" ref="C1846">IFERROR(INDEX('03.Muestra'!$F$8:$F$42,SMALL(IF("Página Web"='03.Muestra'!$D$8:$D$42,ROW('03.Muestra'!$F$8:$F$42)-MIN(ROW('03.Muestra'!$D$8:$D$42))+1,""),ROW()-1842)),"")</f>
        <v>https://www.comunidad.madrid/hospital/12octubre/comunicación</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Nosotros</v>
      </c>
      <c r="C1847" s="85" t="str" cm="1">
        <f t="array" ref="C1847">IFERROR(INDEX('03.Muestra'!$F$8:$F$42,SMALL(IF("Página Web"='03.Muestra'!$D$8:$D$42,ROW('03.Muestra'!$F$8:$F$42)-MIN(ROW('03.Muestra'!$D$8:$D$42))+1,""),ROW()-1842)),"")</f>
        <v>https://www.comunidad.madrid/hospital/12octubre/nosotros</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Centros de especialidades</v>
      </c>
      <c r="C1848" s="85" t="str" cm="1">
        <f t="array" ref="C1848">IFERROR(INDEX('03.Muestra'!$F$8:$F$42,SMALL(IF("Página Web"='03.Muestra'!$D$8:$D$42,ROW('03.Muestra'!$F$8:$F$42)-MIN(ROW('03.Muestra'!$D$8:$D$42))+1,""),ROW()-1842)),"")</f>
        <v>https://www.comunidad.madrid/hospital/12octubre/nosotros/centros-especialidades-perifericos</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Canal solidario</v>
      </c>
      <c r="C1849" s="85" t="str" cm="1">
        <f t="array" ref="C1849">IFERROR(INDEX('03.Muestra'!$F$8:$F$42,SMALL(IF("Página Web"='03.Muestra'!$D$8:$D$42,ROW('03.Muestra'!$F$8:$F$42)-MIN(ROW('03.Muestra'!$D$8:$D$42))+1,""),ROW()-1842)),"")</f>
        <v>https://www.comunidad.madrid/hospital/12octubre/ciudadanos/canal-solidario</v>
      </c>
      <c r="D1849" s="99" t="s">
        <v>104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Aniversario</v>
      </c>
      <c r="C1850" s="85" t="str" cm="1">
        <f t="array" ref="C1850">IFERROR(INDEX('03.Muestra'!$F$8:$F$42,SMALL(IF("Página Web"='03.Muestra'!$D$8:$D$42,ROW('03.Muestra'!$F$8:$F$42)-MIN(ROW('03.Muestra'!$D$8:$D$42))+1,""),ROW()-1842)),"")</f>
        <v>https://www.comunidad.madrid/hospital/12octubre/50-aniversario</v>
      </c>
      <c r="D1850" s="99" t="s">
        <v>104</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Accesibilidad</v>
      </c>
      <c r="C1851" s="85" t="str" cm="1">
        <f t="array" ref="C1851">IFERROR(INDEX('03.Muestra'!$F$8:$F$42,SMALL(IF("Página Web"='03.Muestra'!$D$8:$D$42,ROW('03.Muestra'!$F$8:$F$42)-MIN(ROW('03.Muestra'!$D$8:$D$42))+1,""),ROW()-1842)),"")</f>
        <v>https://www.comunidad.madrid/hospital/12octubre/declaracion-accesibilidad</v>
      </c>
      <c r="D1851" s="99" t="s">
        <v>104</v>
      </c>
      <c r="E1851" s="79" t="str">
        <f t="shared" si="96"/>
        <v/>
      </c>
      <c r="F1851" s="18"/>
      <c r="G1851" s="18"/>
      <c r="H1851" s="18"/>
      <c r="I1851" s="18"/>
      <c r="J1851" s="18"/>
      <c r="K1851" s="184"/>
    </row>
    <row r="1852" spans="1:11" ht="12" customHeight="1">
      <c r="A1852" s="39" t="str" cm="1">
        <f t="array" ref="A1852">IFERROR(INDEX('03.Muestra'!$B$8:$B$42,SMALL(IF("Página Web"='03.Muestra'!$D$8:$D$42,ROW('03.Muestra'!$B$8:$B$42)-MIN(ROW('03.Muestra'!$D$8:$D$42))+1,""),ROW()-1842)),"")</f>
        <v/>
      </c>
      <c r="B1852" s="85" t="str" cm="1">
        <f t="array" ref="B1852">IFERROR(INDEX('03.Muestra'!$C$8:$C$42,SMALL(IF("Página Web"='03.Muestra'!$D$8:$D$42,ROW('03.Muestra'!$C$8:$C$42)-MIN(ROW('03.Muestra'!$D$8:$D$42))+1,""),ROW()-1842)),"")</f>
        <v/>
      </c>
      <c r="C1852" s="85" t="str" cm="1">
        <f t="array" ref="C1852">IFERROR(INDEX('03.Muestra'!$F$8:$F$42,SMALL(IF("Página Web"='03.Muestra'!$D$8:$D$42,ROW('03.Muestra'!$F$8:$F$42)-MIN(ROW('03.Muestra'!$D$8:$D$42))+1,""),ROW()-1842)),"")</f>
        <v/>
      </c>
      <c r="D1852" s="99" t="str">
        <f t="shared" ref="D1852:D1877" si="97">IF(AND(B1852&lt;&gt;"",C1852&lt;&gt;""),"N/T","")</f>
        <v/>
      </c>
      <c r="E1852" s="79" t="str">
        <f t="shared" si="96"/>
        <v/>
      </c>
      <c r="F1852" s="18"/>
      <c r="G1852" s="18"/>
      <c r="H1852" s="18"/>
      <c r="I1852" s="18"/>
      <c r="J1852" s="18"/>
      <c r="K1852" s="184"/>
    </row>
    <row r="1853" spans="1:11" ht="12" customHeight="1">
      <c r="A1853" s="39" t="str" cm="1">
        <f t="array" ref="A1853">IFERROR(INDEX('03.Muestra'!$B$8:$B$42,SMALL(IF("Página Web"='03.Muestra'!$D$8:$D$42,ROW('03.Muestra'!$B$8:$B$42)-MIN(ROW('03.Muestra'!$D$8:$D$42))+1,""),ROW()-1842)),"")</f>
        <v/>
      </c>
      <c r="B1853" s="85" t="str" cm="1">
        <f t="array" ref="B1853">IFERROR(INDEX('03.Muestra'!$C$8:$C$42,SMALL(IF("Página Web"='03.Muestra'!$D$8:$D$42,ROW('03.Muestra'!$C$8:$C$42)-MIN(ROW('03.Muestra'!$D$8:$D$42))+1,""),ROW()-1842)),"")</f>
        <v/>
      </c>
      <c r="C1853" s="85" t="str" cm="1">
        <f t="array" ref="C1853">IFERROR(INDEX('03.Muestra'!$F$8:$F$42,SMALL(IF("Página Web"='03.Muestra'!$D$8:$D$42,ROW('03.Muestra'!$F$8:$F$42)-MIN(ROW('03.Muestra'!$D$8:$D$42))+1,""),ROW()-1842)),"")</f>
        <v/>
      </c>
      <c r="D1853" s="99" t="str">
        <f t="shared" si="97"/>
        <v/>
      </c>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si="97"/>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Home</v>
      </c>
      <c r="C1881" s="85" t="str" cm="1">
        <f t="array" ref="C1881">IFERROR(INDEX('03.Muestra'!$F$8:$F$42,SMALL(IF("Página Web"='03.Muestra'!$D$8:$D$42,ROW('03.Muestra'!$F$8:$F$42)-MIN(ROW('03.Muestra'!$D$8:$D$42))+1,""),ROW()-1880)),"")</f>
        <v>https://www.comunidad.madrid/hospital/12octubre/</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Ciudadanos</v>
      </c>
      <c r="C1882" s="85" t="str" cm="1">
        <f t="array" ref="C1882">IFERROR(INDEX('03.Muestra'!$F$8:$F$42,SMALL(IF("Página Web"='03.Muestra'!$D$8:$D$42,ROW('03.Muestra'!$F$8:$F$42)-MIN(ROW('03.Muestra'!$D$8:$D$42))+1,""),ROW()-1880)),"")</f>
        <v>https://www.comunidad.madrid/hospital/12octubre/ciudadanos</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9</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Profesionales</v>
      </c>
      <c r="C1883" s="85" t="str" cm="1">
        <f t="array" ref="C1883">IFERROR(INDEX('03.Muestra'!$F$8:$F$42,SMALL(IF("Página Web"='03.Muestra'!$D$8:$D$42,ROW('03.Muestra'!$F$8:$F$42)-MIN(ROW('03.Muestra'!$D$8:$D$42))+1,""),ROW()-1880)),"")</f>
        <v>https://www.comunidad.madrid/hospital/12octubre/profesionales</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Comunicación</v>
      </c>
      <c r="C1884" s="85" t="str" cm="1">
        <f t="array" ref="C1884">IFERROR(INDEX('03.Muestra'!$F$8:$F$42,SMALL(IF("Página Web"='03.Muestra'!$D$8:$D$42,ROW('03.Muestra'!$F$8:$F$42)-MIN(ROW('03.Muestra'!$D$8:$D$42))+1,""),ROW()-1880)),"")</f>
        <v>https://www.comunidad.madrid/hospital/12octubre/comunicación</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Nosotros</v>
      </c>
      <c r="C1885" s="85" t="str" cm="1">
        <f t="array" ref="C1885">IFERROR(INDEX('03.Muestra'!$F$8:$F$42,SMALL(IF("Página Web"='03.Muestra'!$D$8:$D$42,ROW('03.Muestra'!$F$8:$F$42)-MIN(ROW('03.Muestra'!$D$8:$D$42))+1,""),ROW()-1880)),"")</f>
        <v>https://www.comunidad.madrid/hospital/12octubre/nosotros</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Centros de especialidades</v>
      </c>
      <c r="C1886" s="85" t="str" cm="1">
        <f t="array" ref="C1886">IFERROR(INDEX('03.Muestra'!$F$8:$F$42,SMALL(IF("Página Web"='03.Muestra'!$D$8:$D$42,ROW('03.Muestra'!$F$8:$F$42)-MIN(ROW('03.Muestra'!$D$8:$D$42))+1,""),ROW()-1880)),"")</f>
        <v>https://www.comunidad.madrid/hospital/12octubre/nosotros/centros-especialidades-perifericos</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Canal solidario</v>
      </c>
      <c r="C1887" s="85" t="str" cm="1">
        <f t="array" ref="C1887">IFERROR(INDEX('03.Muestra'!$F$8:$F$42,SMALL(IF("Página Web"='03.Muestra'!$D$8:$D$42,ROW('03.Muestra'!$F$8:$F$42)-MIN(ROW('03.Muestra'!$D$8:$D$42))+1,""),ROW()-1880)),"")</f>
        <v>https://www.comunidad.madrid/hospital/12octubre/ciudadanos/canal-solidario</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Aniversario</v>
      </c>
      <c r="C1888" s="85" t="str" cm="1">
        <f t="array" ref="C1888">IFERROR(INDEX('03.Muestra'!$F$8:$F$42,SMALL(IF("Página Web"='03.Muestra'!$D$8:$D$42,ROW('03.Muestra'!$F$8:$F$42)-MIN(ROW('03.Muestra'!$D$8:$D$42))+1,""),ROW()-1880)),"")</f>
        <v>https://www.comunidad.madrid/hospital/12octubre/50-aniversario</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Accesibilidad</v>
      </c>
      <c r="C1889" s="85" t="str" cm="1">
        <f t="array" ref="C1889">IFERROR(INDEX('03.Muestra'!$F$8:$F$42,SMALL(IF("Página Web"='03.Muestra'!$D$8:$D$42,ROW('03.Muestra'!$F$8:$F$42)-MIN(ROW('03.Muestra'!$D$8:$D$42))+1,""),ROW()-1880)),"")</f>
        <v>https://www.comunidad.madrid/hospital/12octubre/declaracion-accesibilidad</v>
      </c>
      <c r="D1889" s="99" t="s">
        <v>94</v>
      </c>
      <c r="E1889" s="79" t="str">
        <f t="shared" si="98"/>
        <v/>
      </c>
      <c r="F1889" s="18"/>
      <c r="G1889" s="18"/>
      <c r="H1889" s="18"/>
      <c r="I1889" s="18"/>
      <c r="J1889" s="18"/>
      <c r="K1889" s="184"/>
    </row>
    <row r="1890" spans="1:11" ht="12" customHeight="1">
      <c r="A1890" s="39" t="str" cm="1">
        <f t="array" ref="A1890">IFERROR(INDEX('03.Muestra'!$B$8:$B$42,SMALL(IF("Página Web"='03.Muestra'!$D$8:$D$42,ROW('03.Muestra'!$B$8:$B$42)-MIN(ROW('03.Muestra'!$D$8:$D$42))+1,""),ROW()-1880)),"")</f>
        <v/>
      </c>
      <c r="B1890" s="85" t="str" cm="1">
        <f t="array" ref="B1890">IFERROR(INDEX('03.Muestra'!$C$8:$C$42,SMALL(IF("Página Web"='03.Muestra'!$D$8:$D$42,ROW('03.Muestra'!$C$8:$C$42)-MIN(ROW('03.Muestra'!$D$8:$D$42))+1,""),ROW()-1880)),"")</f>
        <v/>
      </c>
      <c r="C1890" s="85" t="str" cm="1">
        <f t="array" ref="C1890">IFERROR(INDEX('03.Muestra'!$F$8:$F$42,SMALL(IF("Página Web"='03.Muestra'!$D$8:$D$42,ROW('03.Muestra'!$F$8:$F$42)-MIN(ROW('03.Muestra'!$D$8:$D$42))+1,""),ROW()-1880)),"")</f>
        <v/>
      </c>
      <c r="D1890" s="99" t="str">
        <f t="shared" ref="D1890:D1915" si="99">IF(AND(B1890&lt;&gt;"",C1890&lt;&gt;""),"N/T","")</f>
        <v/>
      </c>
      <c r="E1890" s="79" t="str">
        <f t="shared" si="98"/>
        <v/>
      </c>
      <c r="F1890" s="18"/>
      <c r="G1890" s="18"/>
      <c r="H1890" s="18"/>
      <c r="I1890" s="18"/>
      <c r="J1890" s="18"/>
      <c r="K1890" s="184"/>
    </row>
    <row r="1891" spans="1:11" ht="12" customHeight="1">
      <c r="A1891" s="39" t="str" cm="1">
        <f t="array" ref="A1891">IFERROR(INDEX('03.Muestra'!$B$8:$B$42,SMALL(IF("Página Web"='03.Muestra'!$D$8:$D$42,ROW('03.Muestra'!$B$8:$B$42)-MIN(ROW('03.Muestra'!$D$8:$D$42))+1,""),ROW()-1880)),"")</f>
        <v/>
      </c>
      <c r="B1891" s="85" t="str" cm="1">
        <f t="array" ref="B1891">IFERROR(INDEX('03.Muestra'!$C$8:$C$42,SMALL(IF("Página Web"='03.Muestra'!$D$8:$D$42,ROW('03.Muestra'!$C$8:$C$42)-MIN(ROW('03.Muestra'!$D$8:$D$42))+1,""),ROW()-1880)),"")</f>
        <v/>
      </c>
      <c r="C1891" s="85" t="str" cm="1">
        <f t="array" ref="C1891">IFERROR(INDEX('03.Muestra'!$F$8:$F$42,SMALL(IF("Página Web"='03.Muestra'!$D$8:$D$42,ROW('03.Muestra'!$F$8:$F$42)-MIN(ROW('03.Muestra'!$D$8:$D$42))+1,""),ROW()-1880)),"")</f>
        <v/>
      </c>
      <c r="D1891" s="99" t="str">
        <f t="shared" si="99"/>
        <v/>
      </c>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si="99"/>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953" priority="733"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952" priority="727" stopIfTrue="1">
      <formula>ISBLANK(F19)</formula>
    </cfRule>
    <cfRule type="cellIs" dxfId="951" priority="728" stopIfTrue="1" operator="equal">
      <formula>"Pasa"</formula>
    </cfRule>
    <cfRule type="cellIs" dxfId="950" priority="729" stopIfTrue="1" operator="equal">
      <formula>"Falla"</formula>
    </cfRule>
    <cfRule type="cellIs" dxfId="949" priority="730" stopIfTrue="1" operator="equal">
      <formula>"N/A"</formula>
    </cfRule>
    <cfRule type="cellIs" dxfId="948" priority="731" stopIfTrue="1" operator="equal">
      <formula>"N/T"</formula>
    </cfRule>
    <cfRule type="cellIs" dxfId="947" priority="732" stopIfTrue="1" operator="equal">
      <formula>"N/D"</formula>
    </cfRule>
  </conditionalFormatting>
  <conditionalFormatting sqref="E741:E775 E779:E813 E817:E851 E855:E889 E893:E927 E931:E965 E1045:E1079 E1083:E1117 E1159:E1193 E1197:E1231 E1235:E1269 E1273:E1307 E1311:E1345 E1349:E1383">
    <cfRule type="cellIs" dxfId="946" priority="612" stopIfTrue="1" operator="equal">
      <formula>"ERR"</formula>
    </cfRule>
  </conditionalFormatting>
  <conditionalFormatting sqref="E1387:E1421 E1463:E1497 E1501:E1535 E1615:E1649 E1653:E1687 E1691:E1725 E1729:E1763">
    <cfRule type="cellIs" dxfId="945" priority="521" operator="equal">
      <formula>"ERR"</formula>
    </cfRule>
  </conditionalFormatting>
  <conditionalFormatting sqref="E1767:E1801 E1805:E1839">
    <cfRule type="cellIs" dxfId="944" priority="472" stopIfTrue="1" operator="equal">
      <formula>"ERR"</formula>
    </cfRule>
  </conditionalFormatting>
  <conditionalFormatting sqref="E969:E1003 E1007:E1042">
    <cfRule type="cellIs" dxfId="943" priority="453" stopIfTrue="1" operator="equal">
      <formula>"ERR"</formula>
    </cfRule>
  </conditionalFormatting>
  <conditionalFormatting sqref="D1042">
    <cfRule type="expression" dxfId="942" priority="447" stopIfTrue="1">
      <formula>ISBLANK(D1042)</formula>
    </cfRule>
    <cfRule type="cellIs" dxfId="941" priority="448" stopIfTrue="1" operator="equal">
      <formula>"Pasa"</formula>
    </cfRule>
    <cfRule type="cellIs" dxfId="940" priority="449" stopIfTrue="1" operator="equal">
      <formula>"Falla"</formula>
    </cfRule>
    <cfRule type="cellIs" dxfId="939" priority="450" stopIfTrue="1" operator="equal">
      <formula>"N/A"</formula>
    </cfRule>
    <cfRule type="cellIs" dxfId="938" priority="451" stopIfTrue="1" operator="equal">
      <formula>"N/T"</formula>
    </cfRule>
    <cfRule type="cellIs" dxfId="937" priority="452" stopIfTrue="1" operator="equal">
      <formula>"N/D"</formula>
    </cfRule>
  </conditionalFormatting>
  <conditionalFormatting sqref="E1121:E1155">
    <cfRule type="cellIs" dxfId="936" priority="434" stopIfTrue="1" operator="equal">
      <formula>"ERR"</formula>
    </cfRule>
  </conditionalFormatting>
  <conditionalFormatting sqref="E1425:E1459">
    <cfRule type="cellIs" dxfId="935" priority="421" operator="equal">
      <formula>"ERR"</formula>
    </cfRule>
  </conditionalFormatting>
  <conditionalFormatting sqref="E1539:E1573 E1577:E1611">
    <cfRule type="cellIs" dxfId="934" priority="408" operator="equal">
      <formula>"ERR"</formula>
    </cfRule>
  </conditionalFormatting>
  <conditionalFormatting sqref="E1843:E1877">
    <cfRule type="cellIs" dxfId="933" priority="389" stopIfTrue="1" operator="equal">
      <formula>"ERR"</formula>
    </cfRule>
  </conditionalFormatting>
  <conditionalFormatting sqref="D19:D53">
    <cfRule type="expression" dxfId="932" priority="371" stopIfTrue="1">
      <formula>ISBLANK(D19)</formula>
    </cfRule>
    <cfRule type="cellIs" dxfId="931" priority="372" stopIfTrue="1" operator="equal">
      <formula>"Pasa"</formula>
    </cfRule>
    <cfRule type="cellIs" dxfId="930" priority="373" stopIfTrue="1" operator="equal">
      <formula>"Falla"</formula>
    </cfRule>
    <cfRule type="cellIs" dxfId="929" priority="374" stopIfTrue="1" operator="equal">
      <formula>"N/A"</formula>
    </cfRule>
    <cfRule type="cellIs" dxfId="928" priority="375" stopIfTrue="1" operator="equal">
      <formula>"N/T"</formula>
    </cfRule>
    <cfRule type="cellIs" dxfId="927" priority="376" stopIfTrue="1" operator="equal">
      <formula>"N/D"</formula>
    </cfRule>
  </conditionalFormatting>
  <conditionalFormatting sqref="D19:D53">
    <cfRule type="cellIs" dxfId="926" priority="370" stopIfTrue="1" operator="equal">
      <formula>"-"</formula>
    </cfRule>
  </conditionalFormatting>
  <conditionalFormatting sqref="D57:D91">
    <cfRule type="expression" dxfId="925" priority="364" stopIfTrue="1">
      <formula>ISBLANK(D57)</formula>
    </cfRule>
    <cfRule type="cellIs" dxfId="924" priority="365" stopIfTrue="1" operator="equal">
      <formula>"Pasa"</formula>
    </cfRule>
    <cfRule type="cellIs" dxfId="923" priority="366" stopIfTrue="1" operator="equal">
      <formula>"Falla"</formula>
    </cfRule>
    <cfRule type="cellIs" dxfId="922" priority="367" stopIfTrue="1" operator="equal">
      <formula>"N/A"</formula>
    </cfRule>
    <cfRule type="cellIs" dxfId="921" priority="368" stopIfTrue="1" operator="equal">
      <formula>"N/T"</formula>
    </cfRule>
    <cfRule type="cellIs" dxfId="920" priority="369" stopIfTrue="1" operator="equal">
      <formula>"N/D"</formula>
    </cfRule>
  </conditionalFormatting>
  <conditionalFormatting sqref="D57:D91">
    <cfRule type="cellIs" dxfId="919" priority="363" stopIfTrue="1" operator="equal">
      <formula>"-"</formula>
    </cfRule>
  </conditionalFormatting>
  <conditionalFormatting sqref="D95:D129">
    <cfRule type="expression" dxfId="918" priority="357" stopIfTrue="1">
      <formula>ISBLANK(D95)</formula>
    </cfRule>
    <cfRule type="cellIs" dxfId="917" priority="358" stopIfTrue="1" operator="equal">
      <formula>"Pasa"</formula>
    </cfRule>
    <cfRule type="cellIs" dxfId="916" priority="359" stopIfTrue="1" operator="equal">
      <formula>"Falla"</formula>
    </cfRule>
    <cfRule type="cellIs" dxfId="915" priority="360" stopIfTrue="1" operator="equal">
      <formula>"N/A"</formula>
    </cfRule>
    <cfRule type="cellIs" dxfId="914" priority="361" stopIfTrue="1" operator="equal">
      <formula>"N/T"</formula>
    </cfRule>
    <cfRule type="cellIs" dxfId="913" priority="362" stopIfTrue="1" operator="equal">
      <formula>"N/D"</formula>
    </cfRule>
  </conditionalFormatting>
  <conditionalFormatting sqref="D95:D129">
    <cfRule type="cellIs" dxfId="912" priority="356" stopIfTrue="1" operator="equal">
      <formula>"-"</formula>
    </cfRule>
  </conditionalFormatting>
  <conditionalFormatting sqref="D133:D167">
    <cfRule type="expression" dxfId="911" priority="350" stopIfTrue="1">
      <formula>ISBLANK(D133)</formula>
    </cfRule>
    <cfRule type="cellIs" dxfId="910" priority="351" stopIfTrue="1" operator="equal">
      <formula>"Pasa"</formula>
    </cfRule>
    <cfRule type="cellIs" dxfId="909" priority="352" stopIfTrue="1" operator="equal">
      <formula>"Falla"</formula>
    </cfRule>
    <cfRule type="cellIs" dxfId="908" priority="353" stopIfTrue="1" operator="equal">
      <formula>"N/A"</formula>
    </cfRule>
    <cfRule type="cellIs" dxfId="907" priority="354" stopIfTrue="1" operator="equal">
      <formula>"N/T"</formula>
    </cfRule>
    <cfRule type="cellIs" dxfId="906" priority="355" stopIfTrue="1" operator="equal">
      <formula>"N/D"</formula>
    </cfRule>
  </conditionalFormatting>
  <conditionalFormatting sqref="D133:D167">
    <cfRule type="cellIs" dxfId="905" priority="349" stopIfTrue="1" operator="equal">
      <formula>"-"</formula>
    </cfRule>
  </conditionalFormatting>
  <conditionalFormatting sqref="D171:D205">
    <cfRule type="expression" dxfId="904" priority="336" stopIfTrue="1">
      <formula>ISBLANK(D171)</formula>
    </cfRule>
    <cfRule type="cellIs" dxfId="903" priority="337" stopIfTrue="1" operator="equal">
      <formula>"Pasa"</formula>
    </cfRule>
    <cfRule type="cellIs" dxfId="902" priority="338" stopIfTrue="1" operator="equal">
      <formula>"Falla"</formula>
    </cfRule>
    <cfRule type="cellIs" dxfId="901" priority="339" stopIfTrue="1" operator="equal">
      <formula>"N/A"</formula>
    </cfRule>
    <cfRule type="cellIs" dxfId="900" priority="340" stopIfTrue="1" operator="equal">
      <formula>"N/T"</formula>
    </cfRule>
    <cfRule type="cellIs" dxfId="899" priority="341" stopIfTrue="1" operator="equal">
      <formula>"N/D"</formula>
    </cfRule>
  </conditionalFormatting>
  <conditionalFormatting sqref="D171:D205">
    <cfRule type="cellIs" dxfId="898" priority="335" stopIfTrue="1" operator="equal">
      <formula>"-"</formula>
    </cfRule>
  </conditionalFormatting>
  <conditionalFormatting sqref="D209:D243">
    <cfRule type="expression" dxfId="897" priority="329" stopIfTrue="1">
      <formula>ISBLANK(D209)</formula>
    </cfRule>
    <cfRule type="cellIs" dxfId="896" priority="330" stopIfTrue="1" operator="equal">
      <formula>"Pasa"</formula>
    </cfRule>
    <cfRule type="cellIs" dxfId="895" priority="331" stopIfTrue="1" operator="equal">
      <formula>"Falla"</formula>
    </cfRule>
    <cfRule type="cellIs" dxfId="894" priority="332" stopIfTrue="1" operator="equal">
      <formula>"N/A"</formula>
    </cfRule>
    <cfRule type="cellIs" dxfId="893" priority="333" stopIfTrue="1" operator="equal">
      <formula>"N/T"</formula>
    </cfRule>
    <cfRule type="cellIs" dxfId="892" priority="334" stopIfTrue="1" operator="equal">
      <formula>"N/D"</formula>
    </cfRule>
  </conditionalFormatting>
  <conditionalFormatting sqref="D209:D243">
    <cfRule type="cellIs" dxfId="891" priority="328" stopIfTrue="1" operator="equal">
      <formula>"-"</formula>
    </cfRule>
  </conditionalFormatting>
  <conditionalFormatting sqref="D247:D281">
    <cfRule type="expression" dxfId="890" priority="322" stopIfTrue="1">
      <formula>ISBLANK(D247)</formula>
    </cfRule>
    <cfRule type="cellIs" dxfId="889" priority="323" stopIfTrue="1" operator="equal">
      <formula>"Pasa"</formula>
    </cfRule>
    <cfRule type="cellIs" dxfId="888" priority="324" stopIfTrue="1" operator="equal">
      <formula>"Falla"</formula>
    </cfRule>
    <cfRule type="cellIs" dxfId="887" priority="325" stopIfTrue="1" operator="equal">
      <formula>"N/A"</formula>
    </cfRule>
    <cfRule type="cellIs" dxfId="886" priority="326" stopIfTrue="1" operator="equal">
      <formula>"N/T"</formula>
    </cfRule>
    <cfRule type="cellIs" dxfId="885" priority="327" stopIfTrue="1" operator="equal">
      <formula>"N/D"</formula>
    </cfRule>
  </conditionalFormatting>
  <conditionalFormatting sqref="D247:D281">
    <cfRule type="cellIs" dxfId="884" priority="321" stopIfTrue="1" operator="equal">
      <formula>"-"</formula>
    </cfRule>
  </conditionalFormatting>
  <conditionalFormatting sqref="D285:D319">
    <cfRule type="expression" dxfId="883" priority="315" stopIfTrue="1">
      <formula>ISBLANK(D285)</formula>
    </cfRule>
    <cfRule type="cellIs" dxfId="882" priority="316" stopIfTrue="1" operator="equal">
      <formula>"Pasa"</formula>
    </cfRule>
    <cfRule type="cellIs" dxfId="881" priority="317" stopIfTrue="1" operator="equal">
      <formula>"Falla"</formula>
    </cfRule>
    <cfRule type="cellIs" dxfId="880" priority="318" stopIfTrue="1" operator="equal">
      <formula>"N/A"</formula>
    </cfRule>
    <cfRule type="cellIs" dxfId="879" priority="319" stopIfTrue="1" operator="equal">
      <formula>"N/T"</formula>
    </cfRule>
    <cfRule type="cellIs" dxfId="878" priority="320" stopIfTrue="1" operator="equal">
      <formula>"N/D"</formula>
    </cfRule>
  </conditionalFormatting>
  <conditionalFormatting sqref="D285:D319">
    <cfRule type="cellIs" dxfId="877" priority="314" stopIfTrue="1" operator="equal">
      <formula>"-"</formula>
    </cfRule>
  </conditionalFormatting>
  <conditionalFormatting sqref="D323:D357">
    <cfRule type="expression" dxfId="876" priority="308" stopIfTrue="1">
      <formula>ISBLANK(D323)</formula>
    </cfRule>
    <cfRule type="cellIs" dxfId="875" priority="309" stopIfTrue="1" operator="equal">
      <formula>"Pasa"</formula>
    </cfRule>
    <cfRule type="cellIs" dxfId="874" priority="310" stopIfTrue="1" operator="equal">
      <formula>"Falla"</formula>
    </cfRule>
    <cfRule type="cellIs" dxfId="873" priority="311" stopIfTrue="1" operator="equal">
      <formula>"N/A"</formula>
    </cfRule>
    <cfRule type="cellIs" dxfId="872" priority="312" stopIfTrue="1" operator="equal">
      <formula>"N/T"</formula>
    </cfRule>
    <cfRule type="cellIs" dxfId="871" priority="313" stopIfTrue="1" operator="equal">
      <formula>"N/D"</formula>
    </cfRule>
  </conditionalFormatting>
  <conditionalFormatting sqref="D323:D357">
    <cfRule type="cellIs" dxfId="870" priority="307" stopIfTrue="1" operator="equal">
      <formula>"-"</formula>
    </cfRule>
  </conditionalFormatting>
  <conditionalFormatting sqref="D361:D395">
    <cfRule type="expression" dxfId="869" priority="301" stopIfTrue="1">
      <formula>ISBLANK(D361)</formula>
    </cfRule>
    <cfRule type="cellIs" dxfId="868" priority="302" stopIfTrue="1" operator="equal">
      <formula>"Pasa"</formula>
    </cfRule>
    <cfRule type="cellIs" dxfId="867" priority="303" stopIfTrue="1" operator="equal">
      <formula>"Falla"</formula>
    </cfRule>
    <cfRule type="cellIs" dxfId="866" priority="304" stopIfTrue="1" operator="equal">
      <formula>"N/A"</formula>
    </cfRule>
    <cfRule type="cellIs" dxfId="865" priority="305" stopIfTrue="1" operator="equal">
      <formula>"N/T"</formula>
    </cfRule>
    <cfRule type="cellIs" dxfId="864" priority="306" stopIfTrue="1" operator="equal">
      <formula>"N/D"</formula>
    </cfRule>
  </conditionalFormatting>
  <conditionalFormatting sqref="D361:D395">
    <cfRule type="cellIs" dxfId="863" priority="300" stopIfTrue="1" operator="equal">
      <formula>"-"</formula>
    </cfRule>
  </conditionalFormatting>
  <conditionalFormatting sqref="D399:D433">
    <cfRule type="expression" dxfId="862" priority="294" stopIfTrue="1">
      <formula>ISBLANK(D399)</formula>
    </cfRule>
    <cfRule type="cellIs" dxfId="861" priority="295" stopIfTrue="1" operator="equal">
      <formula>"Pasa"</formula>
    </cfRule>
    <cfRule type="cellIs" dxfId="860" priority="296" stopIfTrue="1" operator="equal">
      <formula>"Falla"</formula>
    </cfRule>
    <cfRule type="cellIs" dxfId="859" priority="297" stopIfTrue="1" operator="equal">
      <formula>"N/A"</formula>
    </cfRule>
    <cfRule type="cellIs" dxfId="858" priority="298" stopIfTrue="1" operator="equal">
      <formula>"N/T"</formula>
    </cfRule>
    <cfRule type="cellIs" dxfId="857" priority="299" stopIfTrue="1" operator="equal">
      <formula>"N/D"</formula>
    </cfRule>
  </conditionalFormatting>
  <conditionalFormatting sqref="D399:D433">
    <cfRule type="cellIs" dxfId="856" priority="293" stopIfTrue="1" operator="equal">
      <formula>"-"</formula>
    </cfRule>
  </conditionalFormatting>
  <conditionalFormatting sqref="D437:D471">
    <cfRule type="expression" dxfId="855" priority="287" stopIfTrue="1">
      <formula>ISBLANK(D437)</formula>
    </cfRule>
    <cfRule type="cellIs" dxfId="854" priority="288" stopIfTrue="1" operator="equal">
      <formula>"Pasa"</formula>
    </cfRule>
    <cfRule type="cellIs" dxfId="853" priority="289" stopIfTrue="1" operator="equal">
      <formula>"Falla"</formula>
    </cfRule>
    <cfRule type="cellIs" dxfId="852" priority="290" stopIfTrue="1" operator="equal">
      <formula>"N/A"</formula>
    </cfRule>
    <cfRule type="cellIs" dxfId="851" priority="291" stopIfTrue="1" operator="equal">
      <formula>"N/T"</formula>
    </cfRule>
    <cfRule type="cellIs" dxfId="850" priority="292" stopIfTrue="1" operator="equal">
      <formula>"N/D"</formula>
    </cfRule>
  </conditionalFormatting>
  <conditionalFormatting sqref="D437:D471">
    <cfRule type="cellIs" dxfId="849" priority="286" stopIfTrue="1" operator="equal">
      <formula>"-"</formula>
    </cfRule>
  </conditionalFormatting>
  <conditionalFormatting sqref="D475:D509">
    <cfRule type="expression" dxfId="848" priority="280" stopIfTrue="1">
      <formula>ISBLANK(D475)</formula>
    </cfRule>
    <cfRule type="cellIs" dxfId="847" priority="281" stopIfTrue="1" operator="equal">
      <formula>"Pasa"</formula>
    </cfRule>
    <cfRule type="cellIs" dxfId="846" priority="282" stopIfTrue="1" operator="equal">
      <formula>"Falla"</formula>
    </cfRule>
    <cfRule type="cellIs" dxfId="845" priority="283" stopIfTrue="1" operator="equal">
      <formula>"N/A"</formula>
    </cfRule>
    <cfRule type="cellIs" dxfId="844" priority="284" stopIfTrue="1" operator="equal">
      <formula>"N/T"</formula>
    </cfRule>
    <cfRule type="cellIs" dxfId="843" priority="285" stopIfTrue="1" operator="equal">
      <formula>"N/D"</formula>
    </cfRule>
  </conditionalFormatting>
  <conditionalFormatting sqref="D475:D509">
    <cfRule type="cellIs" dxfId="842" priority="279" stopIfTrue="1" operator="equal">
      <formula>"-"</formula>
    </cfRule>
  </conditionalFormatting>
  <conditionalFormatting sqref="D513:D547">
    <cfRule type="expression" dxfId="841" priority="273" stopIfTrue="1">
      <formula>ISBLANK(D513)</formula>
    </cfRule>
    <cfRule type="cellIs" dxfId="840" priority="274" stopIfTrue="1" operator="equal">
      <formula>"Pasa"</formula>
    </cfRule>
    <cfRule type="cellIs" dxfId="839" priority="275" stopIfTrue="1" operator="equal">
      <formula>"Falla"</formula>
    </cfRule>
    <cfRule type="cellIs" dxfId="838" priority="276" stopIfTrue="1" operator="equal">
      <formula>"N/A"</formula>
    </cfRule>
    <cfRule type="cellIs" dxfId="837" priority="277" stopIfTrue="1" operator="equal">
      <formula>"N/T"</formula>
    </cfRule>
    <cfRule type="cellIs" dxfId="836" priority="278" stopIfTrue="1" operator="equal">
      <formula>"N/D"</formula>
    </cfRule>
  </conditionalFormatting>
  <conditionalFormatting sqref="D513:D547">
    <cfRule type="cellIs" dxfId="835" priority="272" stopIfTrue="1" operator="equal">
      <formula>"-"</formula>
    </cfRule>
  </conditionalFormatting>
  <conditionalFormatting sqref="D551:D585">
    <cfRule type="expression" dxfId="834" priority="266" stopIfTrue="1">
      <formula>ISBLANK(D551)</formula>
    </cfRule>
    <cfRule type="cellIs" dxfId="833" priority="267" stopIfTrue="1" operator="equal">
      <formula>"Pasa"</formula>
    </cfRule>
    <cfRule type="cellIs" dxfId="832" priority="268" stopIfTrue="1" operator="equal">
      <formula>"Falla"</formula>
    </cfRule>
    <cfRule type="cellIs" dxfId="831" priority="269" stopIfTrue="1" operator="equal">
      <formula>"N/A"</formula>
    </cfRule>
    <cfRule type="cellIs" dxfId="830" priority="270" stopIfTrue="1" operator="equal">
      <formula>"N/T"</formula>
    </cfRule>
    <cfRule type="cellIs" dxfId="829" priority="271" stopIfTrue="1" operator="equal">
      <formula>"N/D"</formula>
    </cfRule>
  </conditionalFormatting>
  <conditionalFormatting sqref="D551:D585">
    <cfRule type="cellIs" dxfId="828" priority="265" stopIfTrue="1" operator="equal">
      <formula>"-"</formula>
    </cfRule>
  </conditionalFormatting>
  <conditionalFormatting sqref="D589:D623">
    <cfRule type="expression" dxfId="827" priority="259" stopIfTrue="1">
      <formula>ISBLANK(D589)</formula>
    </cfRule>
    <cfRule type="cellIs" dxfId="826" priority="260" stopIfTrue="1" operator="equal">
      <formula>"Pasa"</formula>
    </cfRule>
    <cfRule type="cellIs" dxfId="825" priority="261" stopIfTrue="1" operator="equal">
      <formula>"Falla"</formula>
    </cfRule>
    <cfRule type="cellIs" dxfId="824" priority="262" stopIfTrue="1" operator="equal">
      <formula>"N/A"</formula>
    </cfRule>
    <cfRule type="cellIs" dxfId="823" priority="263" stopIfTrue="1" operator="equal">
      <formula>"N/T"</formula>
    </cfRule>
    <cfRule type="cellIs" dxfId="822" priority="264" stopIfTrue="1" operator="equal">
      <formula>"N/D"</formula>
    </cfRule>
  </conditionalFormatting>
  <conditionalFormatting sqref="D589:D623">
    <cfRule type="cellIs" dxfId="821" priority="258" stopIfTrue="1" operator="equal">
      <formula>"-"</formula>
    </cfRule>
  </conditionalFormatting>
  <conditionalFormatting sqref="D627:D661">
    <cfRule type="expression" dxfId="820" priority="252" stopIfTrue="1">
      <formula>ISBLANK(D627)</formula>
    </cfRule>
    <cfRule type="cellIs" dxfId="819" priority="253" stopIfTrue="1" operator="equal">
      <formula>"Pasa"</formula>
    </cfRule>
    <cfRule type="cellIs" dxfId="818" priority="254" stopIfTrue="1" operator="equal">
      <formula>"Falla"</formula>
    </cfRule>
    <cfRule type="cellIs" dxfId="817" priority="255" stopIfTrue="1" operator="equal">
      <formula>"N/A"</formula>
    </cfRule>
    <cfRule type="cellIs" dxfId="816" priority="256" stopIfTrue="1" operator="equal">
      <formula>"N/T"</formula>
    </cfRule>
    <cfRule type="cellIs" dxfId="815" priority="257" stopIfTrue="1" operator="equal">
      <formula>"N/D"</formula>
    </cfRule>
  </conditionalFormatting>
  <conditionalFormatting sqref="D627:D661">
    <cfRule type="cellIs" dxfId="814" priority="251" stopIfTrue="1" operator="equal">
      <formula>"-"</formula>
    </cfRule>
  </conditionalFormatting>
  <conditionalFormatting sqref="D665:D699">
    <cfRule type="expression" dxfId="813" priority="245" stopIfTrue="1">
      <formula>ISBLANK(D665)</formula>
    </cfRule>
    <cfRule type="cellIs" dxfId="812" priority="246" stopIfTrue="1" operator="equal">
      <formula>"Pasa"</formula>
    </cfRule>
    <cfRule type="cellIs" dxfId="811" priority="247" stopIfTrue="1" operator="equal">
      <formula>"Falla"</formula>
    </cfRule>
    <cfRule type="cellIs" dxfId="810" priority="248" stopIfTrue="1" operator="equal">
      <formula>"N/A"</formula>
    </cfRule>
    <cfRule type="cellIs" dxfId="809" priority="249" stopIfTrue="1" operator="equal">
      <formula>"N/T"</formula>
    </cfRule>
    <cfRule type="cellIs" dxfId="808" priority="250" stopIfTrue="1" operator="equal">
      <formula>"N/D"</formula>
    </cfRule>
  </conditionalFormatting>
  <conditionalFormatting sqref="D665:D699">
    <cfRule type="cellIs" dxfId="807" priority="244" stopIfTrue="1" operator="equal">
      <formula>"-"</formula>
    </cfRule>
  </conditionalFormatting>
  <conditionalFormatting sqref="D703:D737">
    <cfRule type="expression" dxfId="806" priority="238" stopIfTrue="1">
      <formula>ISBLANK(D703)</formula>
    </cfRule>
    <cfRule type="cellIs" dxfId="805" priority="239" stopIfTrue="1" operator="equal">
      <formula>"Pasa"</formula>
    </cfRule>
    <cfRule type="cellIs" dxfId="804" priority="240" stopIfTrue="1" operator="equal">
      <formula>"Falla"</formula>
    </cfRule>
    <cfRule type="cellIs" dxfId="803" priority="241" stopIfTrue="1" operator="equal">
      <formula>"N/A"</formula>
    </cfRule>
    <cfRule type="cellIs" dxfId="802" priority="242" stopIfTrue="1" operator="equal">
      <formula>"N/T"</formula>
    </cfRule>
    <cfRule type="cellIs" dxfId="801" priority="243" stopIfTrue="1" operator="equal">
      <formula>"N/D"</formula>
    </cfRule>
  </conditionalFormatting>
  <conditionalFormatting sqref="D703:D737">
    <cfRule type="cellIs" dxfId="800" priority="237" stopIfTrue="1" operator="equal">
      <formula>"-"</formula>
    </cfRule>
  </conditionalFormatting>
  <conditionalFormatting sqref="D741:D775">
    <cfRule type="expression" dxfId="799" priority="231" stopIfTrue="1">
      <formula>ISBLANK(D741)</formula>
    </cfRule>
    <cfRule type="cellIs" dxfId="798" priority="232" stopIfTrue="1" operator="equal">
      <formula>"Pasa"</formula>
    </cfRule>
    <cfRule type="cellIs" dxfId="797" priority="233" stopIfTrue="1" operator="equal">
      <formula>"Falla"</formula>
    </cfRule>
    <cfRule type="cellIs" dxfId="796" priority="234" stopIfTrue="1" operator="equal">
      <formula>"N/A"</formula>
    </cfRule>
    <cfRule type="cellIs" dxfId="795" priority="235" stopIfTrue="1" operator="equal">
      <formula>"N/T"</formula>
    </cfRule>
    <cfRule type="cellIs" dxfId="794" priority="236" stopIfTrue="1" operator="equal">
      <formula>"N/D"</formula>
    </cfRule>
  </conditionalFormatting>
  <conditionalFormatting sqref="D741:D775">
    <cfRule type="cellIs" dxfId="793" priority="230" stopIfTrue="1" operator="equal">
      <formula>"-"</formula>
    </cfRule>
  </conditionalFormatting>
  <conditionalFormatting sqref="D779:D813">
    <cfRule type="expression" dxfId="792" priority="224" stopIfTrue="1">
      <formula>ISBLANK(D779)</formula>
    </cfRule>
    <cfRule type="cellIs" dxfId="791" priority="225" stopIfTrue="1" operator="equal">
      <formula>"Pasa"</formula>
    </cfRule>
    <cfRule type="cellIs" dxfId="790" priority="226" stopIfTrue="1" operator="equal">
      <formula>"Falla"</formula>
    </cfRule>
    <cfRule type="cellIs" dxfId="789" priority="227" stopIfTrue="1" operator="equal">
      <formula>"N/A"</formula>
    </cfRule>
    <cfRule type="cellIs" dxfId="788" priority="228" stopIfTrue="1" operator="equal">
      <formula>"N/T"</formula>
    </cfRule>
    <cfRule type="cellIs" dxfId="787" priority="229" stopIfTrue="1" operator="equal">
      <formula>"N/D"</formula>
    </cfRule>
  </conditionalFormatting>
  <conditionalFormatting sqref="D779:D813">
    <cfRule type="cellIs" dxfId="786" priority="223" stopIfTrue="1" operator="equal">
      <formula>"-"</formula>
    </cfRule>
  </conditionalFormatting>
  <conditionalFormatting sqref="D817:D851">
    <cfRule type="expression" dxfId="785" priority="217" stopIfTrue="1">
      <formula>ISBLANK(D817)</formula>
    </cfRule>
    <cfRule type="cellIs" dxfId="784" priority="218" stopIfTrue="1" operator="equal">
      <formula>"Pasa"</formula>
    </cfRule>
    <cfRule type="cellIs" dxfId="783" priority="219" stopIfTrue="1" operator="equal">
      <formula>"Falla"</formula>
    </cfRule>
    <cfRule type="cellIs" dxfId="782" priority="220" stopIfTrue="1" operator="equal">
      <formula>"N/A"</formula>
    </cfRule>
    <cfRule type="cellIs" dxfId="781" priority="221" stopIfTrue="1" operator="equal">
      <formula>"N/T"</formula>
    </cfRule>
    <cfRule type="cellIs" dxfId="780" priority="222" stopIfTrue="1" operator="equal">
      <formula>"N/D"</formula>
    </cfRule>
  </conditionalFormatting>
  <conditionalFormatting sqref="D817:D851">
    <cfRule type="cellIs" dxfId="779" priority="216" stopIfTrue="1" operator="equal">
      <formula>"-"</formula>
    </cfRule>
  </conditionalFormatting>
  <conditionalFormatting sqref="D855:D889">
    <cfRule type="expression" dxfId="778" priority="210" stopIfTrue="1">
      <formula>ISBLANK(D855)</formula>
    </cfRule>
    <cfRule type="cellIs" dxfId="777" priority="211" stopIfTrue="1" operator="equal">
      <formula>"Pasa"</formula>
    </cfRule>
    <cfRule type="cellIs" dxfId="776" priority="212" stopIfTrue="1" operator="equal">
      <formula>"Falla"</formula>
    </cfRule>
    <cfRule type="cellIs" dxfId="775" priority="213" stopIfTrue="1" operator="equal">
      <formula>"N/A"</formula>
    </cfRule>
    <cfRule type="cellIs" dxfId="774" priority="214" stopIfTrue="1" operator="equal">
      <formula>"N/T"</formula>
    </cfRule>
    <cfRule type="cellIs" dxfId="773" priority="215" stopIfTrue="1" operator="equal">
      <formula>"N/D"</formula>
    </cfRule>
  </conditionalFormatting>
  <conditionalFormatting sqref="D855:D889">
    <cfRule type="cellIs" dxfId="772" priority="209" stopIfTrue="1" operator="equal">
      <formula>"-"</formula>
    </cfRule>
  </conditionalFormatting>
  <conditionalFormatting sqref="D893:D927">
    <cfRule type="expression" dxfId="771" priority="203" stopIfTrue="1">
      <formula>ISBLANK(D893)</formula>
    </cfRule>
    <cfRule type="cellIs" dxfId="770" priority="204" stopIfTrue="1" operator="equal">
      <formula>"Pasa"</formula>
    </cfRule>
    <cfRule type="cellIs" dxfId="769" priority="205" stopIfTrue="1" operator="equal">
      <formula>"Falla"</formula>
    </cfRule>
    <cfRule type="cellIs" dxfId="768" priority="206" stopIfTrue="1" operator="equal">
      <formula>"N/A"</formula>
    </cfRule>
    <cfRule type="cellIs" dxfId="767" priority="207" stopIfTrue="1" operator="equal">
      <formula>"N/T"</formula>
    </cfRule>
    <cfRule type="cellIs" dxfId="766" priority="208" stopIfTrue="1" operator="equal">
      <formula>"N/D"</formula>
    </cfRule>
  </conditionalFormatting>
  <conditionalFormatting sqref="D893:D927">
    <cfRule type="cellIs" dxfId="765" priority="202" stopIfTrue="1" operator="equal">
      <formula>"-"</formula>
    </cfRule>
  </conditionalFormatting>
  <conditionalFormatting sqref="D931:D965">
    <cfRule type="expression" dxfId="764" priority="196" stopIfTrue="1">
      <formula>ISBLANK(D931)</formula>
    </cfRule>
    <cfRule type="cellIs" dxfId="763" priority="197" stopIfTrue="1" operator="equal">
      <formula>"Pasa"</formula>
    </cfRule>
    <cfRule type="cellIs" dxfId="762" priority="198" stopIfTrue="1" operator="equal">
      <formula>"Falla"</formula>
    </cfRule>
    <cfRule type="cellIs" dxfId="761" priority="199" stopIfTrue="1" operator="equal">
      <formula>"N/A"</formula>
    </cfRule>
    <cfRule type="cellIs" dxfId="760" priority="200" stopIfTrue="1" operator="equal">
      <formula>"N/T"</formula>
    </cfRule>
    <cfRule type="cellIs" dxfId="759" priority="201" stopIfTrue="1" operator="equal">
      <formula>"N/D"</formula>
    </cfRule>
  </conditionalFormatting>
  <conditionalFormatting sqref="D931:D965">
    <cfRule type="cellIs" dxfId="758" priority="195" stopIfTrue="1" operator="equal">
      <formula>"-"</formula>
    </cfRule>
  </conditionalFormatting>
  <conditionalFormatting sqref="D969:D1003">
    <cfRule type="expression" dxfId="757" priority="189" stopIfTrue="1">
      <formula>ISBLANK(D969)</formula>
    </cfRule>
    <cfRule type="cellIs" dxfId="756" priority="190" stopIfTrue="1" operator="equal">
      <formula>"Pasa"</formula>
    </cfRule>
    <cfRule type="cellIs" dxfId="755" priority="191" stopIfTrue="1" operator="equal">
      <formula>"Falla"</formula>
    </cfRule>
    <cfRule type="cellIs" dxfId="754" priority="192" stopIfTrue="1" operator="equal">
      <formula>"N/A"</formula>
    </cfRule>
    <cfRule type="cellIs" dxfId="753" priority="193" stopIfTrue="1" operator="equal">
      <formula>"N/T"</formula>
    </cfRule>
    <cfRule type="cellIs" dxfId="752" priority="194" stopIfTrue="1" operator="equal">
      <formula>"N/D"</formula>
    </cfRule>
  </conditionalFormatting>
  <conditionalFormatting sqref="D969:D1003">
    <cfRule type="cellIs" dxfId="751" priority="188" stopIfTrue="1" operator="equal">
      <formula>"-"</formula>
    </cfRule>
  </conditionalFormatting>
  <conditionalFormatting sqref="D1007:D1041">
    <cfRule type="expression" dxfId="750" priority="182" stopIfTrue="1">
      <formula>ISBLANK(D1007)</formula>
    </cfRule>
    <cfRule type="cellIs" dxfId="749" priority="183" stopIfTrue="1" operator="equal">
      <formula>"Pasa"</formula>
    </cfRule>
    <cfRule type="cellIs" dxfId="748" priority="184" stopIfTrue="1" operator="equal">
      <formula>"Falla"</formula>
    </cfRule>
    <cfRule type="cellIs" dxfId="747" priority="185" stopIfTrue="1" operator="equal">
      <formula>"N/A"</formula>
    </cfRule>
    <cfRule type="cellIs" dxfId="746" priority="186" stopIfTrue="1" operator="equal">
      <formula>"N/T"</formula>
    </cfRule>
    <cfRule type="cellIs" dxfId="745" priority="187" stopIfTrue="1" operator="equal">
      <formula>"N/D"</formula>
    </cfRule>
  </conditionalFormatting>
  <conditionalFormatting sqref="D1007:D1041">
    <cfRule type="cellIs" dxfId="744" priority="181" stopIfTrue="1" operator="equal">
      <formula>"-"</formula>
    </cfRule>
  </conditionalFormatting>
  <conditionalFormatting sqref="D1045:D1079">
    <cfRule type="expression" dxfId="743" priority="175" stopIfTrue="1">
      <formula>ISBLANK(D1045)</formula>
    </cfRule>
    <cfRule type="cellIs" dxfId="742" priority="176" stopIfTrue="1" operator="equal">
      <formula>"Pasa"</formula>
    </cfRule>
    <cfRule type="cellIs" dxfId="741" priority="177" stopIfTrue="1" operator="equal">
      <formula>"Falla"</formula>
    </cfRule>
    <cfRule type="cellIs" dxfId="740" priority="178" stopIfTrue="1" operator="equal">
      <formula>"N/A"</formula>
    </cfRule>
    <cfRule type="cellIs" dxfId="739" priority="179" stopIfTrue="1" operator="equal">
      <formula>"N/T"</formula>
    </cfRule>
    <cfRule type="cellIs" dxfId="738" priority="180" stopIfTrue="1" operator="equal">
      <formula>"N/D"</formula>
    </cfRule>
  </conditionalFormatting>
  <conditionalFormatting sqref="D1045:D1079">
    <cfRule type="cellIs" dxfId="737" priority="174" stopIfTrue="1" operator="equal">
      <formula>"-"</formula>
    </cfRule>
  </conditionalFormatting>
  <conditionalFormatting sqref="D1083:D1117">
    <cfRule type="expression" dxfId="736" priority="168" stopIfTrue="1">
      <formula>ISBLANK(D1083)</formula>
    </cfRule>
    <cfRule type="cellIs" dxfId="735" priority="169" stopIfTrue="1" operator="equal">
      <formula>"Pasa"</formula>
    </cfRule>
    <cfRule type="cellIs" dxfId="734" priority="170" stopIfTrue="1" operator="equal">
      <formula>"Falla"</formula>
    </cfRule>
    <cfRule type="cellIs" dxfId="733" priority="171" stopIfTrue="1" operator="equal">
      <formula>"N/A"</formula>
    </cfRule>
    <cfRule type="cellIs" dxfId="732" priority="172" stopIfTrue="1" operator="equal">
      <formula>"N/T"</formula>
    </cfRule>
    <cfRule type="cellIs" dxfId="731" priority="173" stopIfTrue="1" operator="equal">
      <formula>"N/D"</formula>
    </cfRule>
  </conditionalFormatting>
  <conditionalFormatting sqref="D1083:D1117">
    <cfRule type="cellIs" dxfId="730" priority="167" stopIfTrue="1" operator="equal">
      <formula>"-"</formula>
    </cfRule>
  </conditionalFormatting>
  <conditionalFormatting sqref="D1121:D1155">
    <cfRule type="expression" dxfId="729" priority="161" stopIfTrue="1">
      <formula>ISBLANK(D1121)</formula>
    </cfRule>
    <cfRule type="cellIs" dxfId="728" priority="162" stopIfTrue="1" operator="equal">
      <formula>"Pasa"</formula>
    </cfRule>
    <cfRule type="cellIs" dxfId="727" priority="163" stopIfTrue="1" operator="equal">
      <formula>"Falla"</formula>
    </cfRule>
    <cfRule type="cellIs" dxfId="726" priority="164" stopIfTrue="1" operator="equal">
      <formula>"N/A"</formula>
    </cfRule>
    <cfRule type="cellIs" dxfId="725" priority="165" stopIfTrue="1" operator="equal">
      <formula>"N/T"</formula>
    </cfRule>
    <cfRule type="cellIs" dxfId="724" priority="166" stopIfTrue="1" operator="equal">
      <formula>"N/D"</formula>
    </cfRule>
  </conditionalFormatting>
  <conditionalFormatting sqref="D1121:D1155">
    <cfRule type="cellIs" dxfId="723" priority="160" stopIfTrue="1" operator="equal">
      <formula>"-"</formula>
    </cfRule>
  </conditionalFormatting>
  <conditionalFormatting sqref="D1159:D1193">
    <cfRule type="expression" dxfId="722" priority="154" stopIfTrue="1">
      <formula>ISBLANK(D1159)</formula>
    </cfRule>
    <cfRule type="cellIs" dxfId="721" priority="155" stopIfTrue="1" operator="equal">
      <formula>"Pasa"</formula>
    </cfRule>
    <cfRule type="cellIs" dxfId="720" priority="156" stopIfTrue="1" operator="equal">
      <formula>"Falla"</formula>
    </cfRule>
    <cfRule type="cellIs" dxfId="719" priority="157" stopIfTrue="1" operator="equal">
      <formula>"N/A"</formula>
    </cfRule>
    <cfRule type="cellIs" dxfId="718" priority="158" stopIfTrue="1" operator="equal">
      <formula>"N/T"</formula>
    </cfRule>
    <cfRule type="cellIs" dxfId="717" priority="159" stopIfTrue="1" operator="equal">
      <formula>"N/D"</formula>
    </cfRule>
  </conditionalFormatting>
  <conditionalFormatting sqref="D1159:D1193">
    <cfRule type="cellIs" dxfId="716" priority="153" stopIfTrue="1" operator="equal">
      <formula>"-"</formula>
    </cfRule>
  </conditionalFormatting>
  <conditionalFormatting sqref="D1197:D1231">
    <cfRule type="expression" dxfId="715" priority="147" stopIfTrue="1">
      <formula>ISBLANK(D1197)</formula>
    </cfRule>
    <cfRule type="cellIs" dxfId="714" priority="148" stopIfTrue="1" operator="equal">
      <formula>"Pasa"</formula>
    </cfRule>
    <cfRule type="cellIs" dxfId="713" priority="149" stopIfTrue="1" operator="equal">
      <formula>"Falla"</formula>
    </cfRule>
    <cfRule type="cellIs" dxfId="712" priority="150" stopIfTrue="1" operator="equal">
      <formula>"N/A"</formula>
    </cfRule>
    <cfRule type="cellIs" dxfId="711" priority="151" stopIfTrue="1" operator="equal">
      <formula>"N/T"</formula>
    </cfRule>
    <cfRule type="cellIs" dxfId="710" priority="152" stopIfTrue="1" operator="equal">
      <formula>"N/D"</formula>
    </cfRule>
  </conditionalFormatting>
  <conditionalFormatting sqref="D1197:D1231">
    <cfRule type="cellIs" dxfId="709" priority="146" stopIfTrue="1" operator="equal">
      <formula>"-"</formula>
    </cfRule>
  </conditionalFormatting>
  <conditionalFormatting sqref="D1235:D1269">
    <cfRule type="expression" dxfId="708" priority="140" stopIfTrue="1">
      <formula>ISBLANK(D1235)</formula>
    </cfRule>
    <cfRule type="cellIs" dxfId="707" priority="141" stopIfTrue="1" operator="equal">
      <formula>"Pasa"</formula>
    </cfRule>
    <cfRule type="cellIs" dxfId="706" priority="142" stopIfTrue="1" operator="equal">
      <formula>"Falla"</formula>
    </cfRule>
    <cfRule type="cellIs" dxfId="705" priority="143" stopIfTrue="1" operator="equal">
      <formula>"N/A"</formula>
    </cfRule>
    <cfRule type="cellIs" dxfId="704" priority="144" stopIfTrue="1" operator="equal">
      <formula>"N/T"</formula>
    </cfRule>
    <cfRule type="cellIs" dxfId="703" priority="145" stopIfTrue="1" operator="equal">
      <formula>"N/D"</formula>
    </cfRule>
  </conditionalFormatting>
  <conditionalFormatting sqref="D1235:D1269">
    <cfRule type="cellIs" dxfId="702" priority="139" stopIfTrue="1" operator="equal">
      <formula>"-"</formula>
    </cfRule>
  </conditionalFormatting>
  <conditionalFormatting sqref="D1273:D1307">
    <cfRule type="expression" dxfId="701" priority="133" stopIfTrue="1">
      <formula>ISBLANK(D1273)</formula>
    </cfRule>
    <cfRule type="cellIs" dxfId="700" priority="134" stopIfTrue="1" operator="equal">
      <formula>"Pasa"</formula>
    </cfRule>
    <cfRule type="cellIs" dxfId="699" priority="135" stopIfTrue="1" operator="equal">
      <formula>"Falla"</formula>
    </cfRule>
    <cfRule type="cellIs" dxfId="698" priority="136" stopIfTrue="1" operator="equal">
      <formula>"N/A"</formula>
    </cfRule>
    <cfRule type="cellIs" dxfId="697" priority="137" stopIfTrue="1" operator="equal">
      <formula>"N/T"</formula>
    </cfRule>
    <cfRule type="cellIs" dxfId="696" priority="138" stopIfTrue="1" operator="equal">
      <formula>"N/D"</formula>
    </cfRule>
  </conditionalFormatting>
  <conditionalFormatting sqref="D1273:D1307">
    <cfRule type="cellIs" dxfId="695" priority="132" stopIfTrue="1" operator="equal">
      <formula>"-"</formula>
    </cfRule>
  </conditionalFormatting>
  <conditionalFormatting sqref="D1311:D1345">
    <cfRule type="expression" dxfId="694" priority="126" stopIfTrue="1">
      <formula>ISBLANK(D1311)</formula>
    </cfRule>
    <cfRule type="cellIs" dxfId="693" priority="127" stopIfTrue="1" operator="equal">
      <formula>"Pasa"</formula>
    </cfRule>
    <cfRule type="cellIs" dxfId="692" priority="128" stopIfTrue="1" operator="equal">
      <formula>"Falla"</formula>
    </cfRule>
    <cfRule type="cellIs" dxfId="691" priority="129" stopIfTrue="1" operator="equal">
      <formula>"N/A"</formula>
    </cfRule>
    <cfRule type="cellIs" dxfId="690" priority="130" stopIfTrue="1" operator="equal">
      <formula>"N/T"</formula>
    </cfRule>
    <cfRule type="cellIs" dxfId="689" priority="131" stopIfTrue="1" operator="equal">
      <formula>"N/D"</formula>
    </cfRule>
  </conditionalFormatting>
  <conditionalFormatting sqref="D1311:D1345">
    <cfRule type="cellIs" dxfId="688" priority="125" stopIfTrue="1" operator="equal">
      <formula>"-"</formula>
    </cfRule>
  </conditionalFormatting>
  <conditionalFormatting sqref="D1349:D1383">
    <cfRule type="expression" dxfId="687" priority="119" stopIfTrue="1">
      <formula>ISBLANK(D1349)</formula>
    </cfRule>
    <cfRule type="cellIs" dxfId="686" priority="120" stopIfTrue="1" operator="equal">
      <formula>"Pasa"</formula>
    </cfRule>
    <cfRule type="cellIs" dxfId="685" priority="121" stopIfTrue="1" operator="equal">
      <formula>"Falla"</formula>
    </cfRule>
    <cfRule type="cellIs" dxfId="684" priority="122" stopIfTrue="1" operator="equal">
      <formula>"N/A"</formula>
    </cfRule>
    <cfRule type="cellIs" dxfId="683" priority="123" stopIfTrue="1" operator="equal">
      <formula>"N/T"</formula>
    </cfRule>
    <cfRule type="cellIs" dxfId="682" priority="124" stopIfTrue="1" operator="equal">
      <formula>"N/D"</formula>
    </cfRule>
  </conditionalFormatting>
  <conditionalFormatting sqref="D1349:D1383">
    <cfRule type="cellIs" dxfId="681" priority="118" stopIfTrue="1" operator="equal">
      <formula>"-"</formula>
    </cfRule>
  </conditionalFormatting>
  <conditionalFormatting sqref="D1387:D1421">
    <cfRule type="expression" dxfId="680" priority="112" stopIfTrue="1">
      <formula>ISBLANK(D1387)</formula>
    </cfRule>
    <cfRule type="cellIs" dxfId="679" priority="113" stopIfTrue="1" operator="equal">
      <formula>"Pasa"</formula>
    </cfRule>
    <cfRule type="cellIs" dxfId="678" priority="114" stopIfTrue="1" operator="equal">
      <formula>"Falla"</formula>
    </cfRule>
    <cfRule type="cellIs" dxfId="677" priority="115" stopIfTrue="1" operator="equal">
      <formula>"N/A"</formula>
    </cfRule>
    <cfRule type="cellIs" dxfId="676" priority="116" stopIfTrue="1" operator="equal">
      <formula>"N/T"</formula>
    </cfRule>
    <cfRule type="cellIs" dxfId="675" priority="117" stopIfTrue="1" operator="equal">
      <formula>"N/D"</formula>
    </cfRule>
  </conditionalFormatting>
  <conditionalFormatting sqref="D1387:D1421">
    <cfRule type="cellIs" dxfId="674" priority="111" stopIfTrue="1" operator="equal">
      <formula>"-"</formula>
    </cfRule>
  </conditionalFormatting>
  <conditionalFormatting sqref="D1425:D1459">
    <cfRule type="expression" dxfId="673" priority="105" stopIfTrue="1">
      <formula>ISBLANK(D1425)</formula>
    </cfRule>
    <cfRule type="cellIs" dxfId="672" priority="106" stopIfTrue="1" operator="equal">
      <formula>"Pasa"</formula>
    </cfRule>
    <cfRule type="cellIs" dxfId="671" priority="107" stopIfTrue="1" operator="equal">
      <formula>"Falla"</formula>
    </cfRule>
    <cfRule type="cellIs" dxfId="670" priority="108" stopIfTrue="1" operator="equal">
      <formula>"N/A"</formula>
    </cfRule>
    <cfRule type="cellIs" dxfId="669" priority="109" stopIfTrue="1" operator="equal">
      <formula>"N/T"</formula>
    </cfRule>
    <cfRule type="cellIs" dxfId="668" priority="110" stopIfTrue="1" operator="equal">
      <formula>"N/D"</formula>
    </cfRule>
  </conditionalFormatting>
  <conditionalFormatting sqref="D1425:D1459">
    <cfRule type="cellIs" dxfId="667" priority="104" stopIfTrue="1" operator="equal">
      <formula>"-"</formula>
    </cfRule>
  </conditionalFormatting>
  <conditionalFormatting sqref="D1463:D1497">
    <cfRule type="expression" dxfId="666" priority="98" stopIfTrue="1">
      <formula>ISBLANK(D1463)</formula>
    </cfRule>
    <cfRule type="cellIs" dxfId="665" priority="99" stopIfTrue="1" operator="equal">
      <formula>"Pasa"</formula>
    </cfRule>
    <cfRule type="cellIs" dxfId="664" priority="100" stopIfTrue="1" operator="equal">
      <formula>"Falla"</formula>
    </cfRule>
    <cfRule type="cellIs" dxfId="663" priority="101" stopIfTrue="1" operator="equal">
      <formula>"N/A"</formula>
    </cfRule>
    <cfRule type="cellIs" dxfId="662" priority="102" stopIfTrue="1" operator="equal">
      <formula>"N/T"</formula>
    </cfRule>
    <cfRule type="cellIs" dxfId="661" priority="103" stopIfTrue="1" operator="equal">
      <formula>"N/D"</formula>
    </cfRule>
  </conditionalFormatting>
  <conditionalFormatting sqref="D1463:D1497">
    <cfRule type="cellIs" dxfId="660" priority="97" stopIfTrue="1" operator="equal">
      <formula>"-"</formula>
    </cfRule>
  </conditionalFormatting>
  <conditionalFormatting sqref="D1501:D1535">
    <cfRule type="expression" dxfId="659" priority="91" stopIfTrue="1">
      <formula>ISBLANK(D1501)</formula>
    </cfRule>
    <cfRule type="cellIs" dxfId="658" priority="92" stopIfTrue="1" operator="equal">
      <formula>"Pasa"</formula>
    </cfRule>
    <cfRule type="cellIs" dxfId="657" priority="93" stopIfTrue="1" operator="equal">
      <formula>"Falla"</formula>
    </cfRule>
    <cfRule type="cellIs" dxfId="656" priority="94" stopIfTrue="1" operator="equal">
      <formula>"N/A"</formula>
    </cfRule>
    <cfRule type="cellIs" dxfId="655" priority="95" stopIfTrue="1" operator="equal">
      <formula>"N/T"</formula>
    </cfRule>
    <cfRule type="cellIs" dxfId="654" priority="96" stopIfTrue="1" operator="equal">
      <formula>"N/D"</formula>
    </cfRule>
  </conditionalFormatting>
  <conditionalFormatting sqref="D1501:D1535">
    <cfRule type="cellIs" dxfId="653" priority="90" stopIfTrue="1" operator="equal">
      <formula>"-"</formula>
    </cfRule>
  </conditionalFormatting>
  <conditionalFormatting sqref="D1539:D1573">
    <cfRule type="expression" dxfId="652" priority="84" stopIfTrue="1">
      <formula>ISBLANK(D1539)</formula>
    </cfRule>
    <cfRule type="cellIs" dxfId="651" priority="85" stopIfTrue="1" operator="equal">
      <formula>"Pasa"</formula>
    </cfRule>
    <cfRule type="cellIs" dxfId="650" priority="86" stopIfTrue="1" operator="equal">
      <formula>"Falla"</formula>
    </cfRule>
    <cfRule type="cellIs" dxfId="649" priority="87" stopIfTrue="1" operator="equal">
      <formula>"N/A"</formula>
    </cfRule>
    <cfRule type="cellIs" dxfId="648" priority="88" stopIfTrue="1" operator="equal">
      <formula>"N/T"</formula>
    </cfRule>
    <cfRule type="cellIs" dxfId="647" priority="89" stopIfTrue="1" operator="equal">
      <formula>"N/D"</formula>
    </cfRule>
  </conditionalFormatting>
  <conditionalFormatting sqref="D1539:D1573">
    <cfRule type="cellIs" dxfId="646" priority="83" stopIfTrue="1" operator="equal">
      <formula>"-"</formula>
    </cfRule>
  </conditionalFormatting>
  <conditionalFormatting sqref="D1577:D1611">
    <cfRule type="expression" dxfId="645" priority="77" stopIfTrue="1">
      <formula>ISBLANK(D1577)</formula>
    </cfRule>
    <cfRule type="cellIs" dxfId="644" priority="78" stopIfTrue="1" operator="equal">
      <formula>"Pasa"</formula>
    </cfRule>
    <cfRule type="cellIs" dxfId="643" priority="79" stopIfTrue="1" operator="equal">
      <formula>"Falla"</formula>
    </cfRule>
    <cfRule type="cellIs" dxfId="642" priority="80" stopIfTrue="1" operator="equal">
      <formula>"N/A"</formula>
    </cfRule>
    <cfRule type="cellIs" dxfId="641" priority="81" stopIfTrue="1" operator="equal">
      <formula>"N/T"</formula>
    </cfRule>
    <cfRule type="cellIs" dxfId="640" priority="82" stopIfTrue="1" operator="equal">
      <formula>"N/D"</formula>
    </cfRule>
  </conditionalFormatting>
  <conditionalFormatting sqref="D1577:D1611">
    <cfRule type="cellIs" dxfId="639" priority="76" stopIfTrue="1" operator="equal">
      <formula>"-"</formula>
    </cfRule>
  </conditionalFormatting>
  <conditionalFormatting sqref="D1615:D1649">
    <cfRule type="expression" dxfId="638" priority="70" stopIfTrue="1">
      <formula>ISBLANK(D1615)</formula>
    </cfRule>
    <cfRule type="cellIs" dxfId="637" priority="71" stopIfTrue="1" operator="equal">
      <formula>"Pasa"</formula>
    </cfRule>
    <cfRule type="cellIs" dxfId="636" priority="72" stopIfTrue="1" operator="equal">
      <formula>"Falla"</formula>
    </cfRule>
    <cfRule type="cellIs" dxfId="635" priority="73" stopIfTrue="1" operator="equal">
      <formula>"N/A"</formula>
    </cfRule>
    <cfRule type="cellIs" dxfId="634" priority="74" stopIfTrue="1" operator="equal">
      <formula>"N/T"</formula>
    </cfRule>
    <cfRule type="cellIs" dxfId="633" priority="75" stopIfTrue="1" operator="equal">
      <formula>"N/D"</formula>
    </cfRule>
  </conditionalFormatting>
  <conditionalFormatting sqref="D1615:D1649">
    <cfRule type="cellIs" dxfId="632" priority="69" stopIfTrue="1" operator="equal">
      <formula>"-"</formula>
    </cfRule>
  </conditionalFormatting>
  <conditionalFormatting sqref="D1653:D1687">
    <cfRule type="expression" dxfId="631" priority="63" stopIfTrue="1">
      <formula>ISBLANK(D1653)</formula>
    </cfRule>
    <cfRule type="cellIs" dxfId="630" priority="64" stopIfTrue="1" operator="equal">
      <formula>"Pasa"</formula>
    </cfRule>
    <cfRule type="cellIs" dxfId="629" priority="65" stopIfTrue="1" operator="equal">
      <formula>"Falla"</formula>
    </cfRule>
    <cfRule type="cellIs" dxfId="628" priority="66" stopIfTrue="1" operator="equal">
      <formula>"N/A"</formula>
    </cfRule>
    <cfRule type="cellIs" dxfId="627" priority="67" stopIfTrue="1" operator="equal">
      <formula>"N/T"</formula>
    </cfRule>
    <cfRule type="cellIs" dxfId="626" priority="68" stopIfTrue="1" operator="equal">
      <formula>"N/D"</formula>
    </cfRule>
  </conditionalFormatting>
  <conditionalFormatting sqref="D1653:D1687">
    <cfRule type="cellIs" dxfId="625" priority="62" stopIfTrue="1" operator="equal">
      <formula>"-"</formula>
    </cfRule>
  </conditionalFormatting>
  <conditionalFormatting sqref="D1691:D1725">
    <cfRule type="expression" dxfId="624" priority="56" stopIfTrue="1">
      <formula>ISBLANK(D1691)</formula>
    </cfRule>
    <cfRule type="cellIs" dxfId="623" priority="57" stopIfTrue="1" operator="equal">
      <formula>"Pasa"</formula>
    </cfRule>
    <cfRule type="cellIs" dxfId="622" priority="58" stopIfTrue="1" operator="equal">
      <formula>"Falla"</formula>
    </cfRule>
    <cfRule type="cellIs" dxfId="621" priority="59" stopIfTrue="1" operator="equal">
      <formula>"N/A"</formula>
    </cfRule>
    <cfRule type="cellIs" dxfId="620" priority="60" stopIfTrue="1" operator="equal">
      <formula>"N/T"</formula>
    </cfRule>
    <cfRule type="cellIs" dxfId="619" priority="61" stopIfTrue="1" operator="equal">
      <formula>"N/D"</formula>
    </cfRule>
  </conditionalFormatting>
  <conditionalFormatting sqref="D1691:D1725">
    <cfRule type="cellIs" dxfId="618" priority="55" stopIfTrue="1" operator="equal">
      <formula>"-"</formula>
    </cfRule>
  </conditionalFormatting>
  <conditionalFormatting sqref="D1729:D1763">
    <cfRule type="expression" dxfId="617" priority="49" stopIfTrue="1">
      <formula>ISBLANK(D1729)</formula>
    </cfRule>
    <cfRule type="cellIs" dxfId="616" priority="50" stopIfTrue="1" operator="equal">
      <formula>"Pasa"</formula>
    </cfRule>
    <cfRule type="cellIs" dxfId="615" priority="51" stopIfTrue="1" operator="equal">
      <formula>"Falla"</formula>
    </cfRule>
    <cfRule type="cellIs" dxfId="614" priority="52" stopIfTrue="1" operator="equal">
      <formula>"N/A"</formula>
    </cfRule>
    <cfRule type="cellIs" dxfId="613" priority="53" stopIfTrue="1" operator="equal">
      <formula>"N/T"</formula>
    </cfRule>
    <cfRule type="cellIs" dxfId="612" priority="54" stopIfTrue="1" operator="equal">
      <formula>"N/D"</formula>
    </cfRule>
  </conditionalFormatting>
  <conditionalFormatting sqref="D1729:D1763">
    <cfRule type="cellIs" dxfId="611" priority="48" stopIfTrue="1" operator="equal">
      <formula>"-"</formula>
    </cfRule>
  </conditionalFormatting>
  <conditionalFormatting sqref="D1767:D1801">
    <cfRule type="expression" dxfId="610" priority="42" stopIfTrue="1">
      <formula>ISBLANK(D1767)</formula>
    </cfRule>
    <cfRule type="cellIs" dxfId="609" priority="43" stopIfTrue="1" operator="equal">
      <formula>"Pasa"</formula>
    </cfRule>
    <cfRule type="cellIs" dxfId="608" priority="44" stopIfTrue="1" operator="equal">
      <formula>"Falla"</formula>
    </cfRule>
    <cfRule type="cellIs" dxfId="607" priority="45" stopIfTrue="1" operator="equal">
      <formula>"N/A"</formula>
    </cfRule>
    <cfRule type="cellIs" dxfId="606" priority="46" stopIfTrue="1" operator="equal">
      <formula>"N/T"</formula>
    </cfRule>
    <cfRule type="cellIs" dxfId="605" priority="47" stopIfTrue="1" operator="equal">
      <formula>"N/D"</formula>
    </cfRule>
  </conditionalFormatting>
  <conditionalFormatting sqref="D1767:D1801">
    <cfRule type="cellIs" dxfId="604" priority="41" stopIfTrue="1" operator="equal">
      <formula>"-"</formula>
    </cfRule>
  </conditionalFormatting>
  <conditionalFormatting sqref="D1805:D1839">
    <cfRule type="expression" dxfId="603" priority="35" stopIfTrue="1">
      <formula>ISBLANK(D1805)</formula>
    </cfRule>
    <cfRule type="cellIs" dxfId="602" priority="36" stopIfTrue="1" operator="equal">
      <formula>"Pasa"</formula>
    </cfRule>
    <cfRule type="cellIs" dxfId="601" priority="37" stopIfTrue="1" operator="equal">
      <formula>"Falla"</formula>
    </cfRule>
    <cfRule type="cellIs" dxfId="600" priority="38" stopIfTrue="1" operator="equal">
      <formula>"N/A"</formula>
    </cfRule>
    <cfRule type="cellIs" dxfId="599" priority="39" stopIfTrue="1" operator="equal">
      <formula>"N/T"</formula>
    </cfRule>
    <cfRule type="cellIs" dxfId="598" priority="40" stopIfTrue="1" operator="equal">
      <formula>"N/D"</formula>
    </cfRule>
  </conditionalFormatting>
  <conditionalFormatting sqref="D1805:D1839">
    <cfRule type="cellIs" dxfId="597" priority="34" stopIfTrue="1" operator="equal">
      <formula>"-"</formula>
    </cfRule>
  </conditionalFormatting>
  <conditionalFormatting sqref="D1843:D1877">
    <cfRule type="expression" dxfId="596" priority="28" stopIfTrue="1">
      <formula>ISBLANK(D1843)</formula>
    </cfRule>
    <cfRule type="cellIs" dxfId="595" priority="29" stopIfTrue="1" operator="equal">
      <formula>"Pasa"</formula>
    </cfRule>
    <cfRule type="cellIs" dxfId="594" priority="30" stopIfTrue="1" operator="equal">
      <formula>"Falla"</formula>
    </cfRule>
    <cfRule type="cellIs" dxfId="593" priority="31" stopIfTrue="1" operator="equal">
      <formula>"N/A"</formula>
    </cfRule>
    <cfRule type="cellIs" dxfId="592" priority="32" stopIfTrue="1" operator="equal">
      <formula>"N/T"</formula>
    </cfRule>
    <cfRule type="cellIs" dxfId="591" priority="33" stopIfTrue="1" operator="equal">
      <formula>"N/D"</formula>
    </cfRule>
  </conditionalFormatting>
  <conditionalFormatting sqref="D1843:D1877">
    <cfRule type="cellIs" dxfId="590" priority="27" stopIfTrue="1" operator="equal">
      <formula>"-"</formula>
    </cfRule>
  </conditionalFormatting>
  <conditionalFormatting sqref="K23">
    <cfRule type="expression" dxfId="589" priority="21" stopIfTrue="1">
      <formula>ISBLANK(K23)</formula>
    </cfRule>
    <cfRule type="cellIs" dxfId="588" priority="22" stopIfTrue="1" operator="equal">
      <formula>"Pasa"</formula>
    </cfRule>
    <cfRule type="cellIs" dxfId="587" priority="23" stopIfTrue="1" operator="equal">
      <formula>"Falla"</formula>
    </cfRule>
    <cfRule type="cellIs" dxfId="586" priority="24" stopIfTrue="1" operator="equal">
      <formula>"N/A"</formula>
    </cfRule>
    <cfRule type="cellIs" dxfId="585" priority="25" stopIfTrue="1" operator="equal">
      <formula>"N/T"</formula>
    </cfRule>
    <cfRule type="cellIs" dxfId="584" priority="26" stopIfTrue="1" operator="equal">
      <formula>"N/D"</formula>
    </cfRule>
  </conditionalFormatting>
  <conditionalFormatting sqref="K24">
    <cfRule type="expression" dxfId="583" priority="15" stopIfTrue="1">
      <formula>ISBLANK(K24)</formula>
    </cfRule>
    <cfRule type="cellIs" dxfId="582" priority="16" stopIfTrue="1" operator="equal">
      <formula>"Pasa"</formula>
    </cfRule>
    <cfRule type="cellIs" dxfId="581" priority="17" stopIfTrue="1" operator="equal">
      <formula>"Falla"</formula>
    </cfRule>
    <cfRule type="cellIs" dxfId="580" priority="18" stopIfTrue="1" operator="equal">
      <formula>"N/A"</formula>
    </cfRule>
    <cfRule type="cellIs" dxfId="579" priority="19" stopIfTrue="1" operator="equal">
      <formula>"N/T"</formula>
    </cfRule>
    <cfRule type="cellIs" dxfId="578" priority="20" stopIfTrue="1" operator="equal">
      <formula>"N/D"</formula>
    </cfRule>
  </conditionalFormatting>
  <conditionalFormatting sqref="E1881:E1915">
    <cfRule type="cellIs" dxfId="577" priority="8" stopIfTrue="1" operator="equal">
      <formula>"ERR"</formula>
    </cfRule>
  </conditionalFormatting>
  <conditionalFormatting sqref="D1881:D1915">
    <cfRule type="expression" dxfId="576" priority="2" stopIfTrue="1">
      <formula>ISBLANK(D1881)</formula>
    </cfRule>
    <cfRule type="cellIs" dxfId="575" priority="3" stopIfTrue="1" operator="equal">
      <formula>"Pasa"</formula>
    </cfRule>
    <cfRule type="cellIs" dxfId="574" priority="4" stopIfTrue="1" operator="equal">
      <formula>"Falla"</formula>
    </cfRule>
    <cfRule type="cellIs" dxfId="573" priority="5" stopIfTrue="1" operator="equal">
      <formula>"N/A"</formula>
    </cfRule>
    <cfRule type="cellIs" dxfId="572" priority="6" stopIfTrue="1" operator="equal">
      <formula>"N/T"</formula>
    </cfRule>
    <cfRule type="cellIs" dxfId="571" priority="7" stopIfTrue="1" operator="equal">
      <formula>"N/D"</formula>
    </cfRule>
  </conditionalFormatting>
  <conditionalFormatting sqref="D1881:D1915">
    <cfRule type="cellIs" dxfId="57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2" tint="-0.499984740745262"/>
  </sheetPr>
  <dimension ref="A1:BL1755"/>
  <sheetViews>
    <sheetView topLeftCell="A12" zoomScale="90" zoomScaleNormal="90" workbookViewId="0">
      <selection activeCell="N2" sqref="N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9.906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65" customHeight="1">
      <c r="B7" s="18"/>
      <c r="C7" s="18"/>
      <c r="D7" s="18"/>
      <c r="E7" s="79"/>
      <c r="F7" s="18"/>
      <c r="G7" s="18"/>
      <c r="H7" s="18"/>
      <c r="I7" s="18"/>
      <c r="J7" s="18"/>
      <c r="K7" s="18"/>
      <c r="L7" s="18"/>
      <c r="M7" s="18"/>
      <c r="N7" s="18"/>
      <c r="O7" s="18"/>
    </row>
    <row r="8" spans="1:64" ht="18.899999999999999" customHeight="1">
      <c r="B8" s="232" t="s">
        <v>192</v>
      </c>
      <c r="C8" s="232"/>
      <c r="D8" s="232"/>
      <c r="E8" s="232"/>
      <c r="F8" s="232"/>
      <c r="G8" s="232"/>
      <c r="H8" s="232"/>
      <c r="I8" s="232"/>
      <c r="J8" s="232"/>
      <c r="K8" s="232"/>
      <c r="L8" s="232"/>
      <c r="M8" s="232"/>
      <c r="N8" s="18"/>
      <c r="O8" s="18"/>
    </row>
    <row r="9" spans="1:64" ht="24" customHeight="1">
      <c r="B9" s="231" t="s">
        <v>193</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15"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15"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99</v>
      </c>
      <c r="B1614" s="23" t="s">
        <v>91</v>
      </c>
      <c r="C1614" s="24" t="s">
        <v>236</v>
      </c>
      <c r="D1614" s="25" t="s">
        <v>101</v>
      </c>
      <c r="E1614" s="93"/>
      <c r="K1614" s="184"/>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99</v>
      </c>
      <c r="B1652" s="23" t="s">
        <v>91</v>
      </c>
      <c r="C1652" s="24" t="s">
        <v>237</v>
      </c>
      <c r="D1652" s="25" t="s">
        <v>101</v>
      </c>
      <c r="E1652" s="93"/>
      <c r="K1652" s="184"/>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99</v>
      </c>
      <c r="B1690" s="23" t="s">
        <v>91</v>
      </c>
      <c r="C1690" s="24" t="s">
        <v>238</v>
      </c>
      <c r="D1690" s="25" t="s">
        <v>101</v>
      </c>
      <c r="E1690" s="93"/>
      <c r="K1690" s="184"/>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56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568" priority="681" stopIfTrue="1">
      <formula>ISBLANK(F19)</formula>
    </cfRule>
    <cfRule type="cellIs" dxfId="567" priority="682" stopIfTrue="1" operator="equal">
      <formula>"Pasa"</formula>
    </cfRule>
    <cfRule type="cellIs" dxfId="566" priority="683" stopIfTrue="1" operator="equal">
      <formula>"Falla"</formula>
    </cfRule>
    <cfRule type="cellIs" dxfId="565" priority="684" stopIfTrue="1" operator="equal">
      <formula>"N/A"</formula>
    </cfRule>
    <cfRule type="cellIs" dxfId="564" priority="685" stopIfTrue="1" operator="equal">
      <formula>"N/T"</formula>
    </cfRule>
    <cfRule type="cellIs" dxfId="563" priority="686" stopIfTrue="1" operator="equal">
      <formula>"N/D"</formula>
    </cfRule>
  </conditionalFormatting>
  <conditionalFormatting sqref="E741:E775 E779:E813 E817:E851 E855:E889 E893:E927 E931:E965 E1007:E1041 E1045:E1079 E1083:E1117 E1121:E1155 E1159:E1193 E1197:E1231 E1235:E1269 E1273:E1307">
    <cfRule type="cellIs" dxfId="562" priority="566" stopIfTrue="1" operator="equal">
      <formula>"ERR"</formula>
    </cfRule>
  </conditionalFormatting>
  <conditionalFormatting sqref="E1311:E1345 E1387:E1421 E1425:E1459 E1463:E1497 E1501:E1535 E1539:E1573 E1577:E1611">
    <cfRule type="cellIs" dxfId="561" priority="475" operator="equal">
      <formula>"ERR"</formula>
    </cfRule>
  </conditionalFormatting>
  <conditionalFormatting sqref="E1615:E1649 E1653:E1687">
    <cfRule type="cellIs" dxfId="560" priority="426" stopIfTrue="1" operator="equal">
      <formula>"ERR"</formula>
    </cfRule>
  </conditionalFormatting>
  <conditionalFormatting sqref="E969:E1004">
    <cfRule type="cellIs" dxfId="559" priority="407" stopIfTrue="1" operator="equal">
      <formula>"ERR"</formula>
    </cfRule>
  </conditionalFormatting>
  <conditionalFormatting sqref="E1349:E1383">
    <cfRule type="cellIs" dxfId="558" priority="394" operator="equal">
      <formula>"ERR"</formula>
    </cfRule>
  </conditionalFormatting>
  <conditionalFormatting sqref="D19:D53">
    <cfRule type="expression" dxfId="557" priority="350" stopIfTrue="1">
      <formula>ISBLANK(D19)</formula>
    </cfRule>
    <cfRule type="cellIs" dxfId="556" priority="351" stopIfTrue="1" operator="equal">
      <formula>"Pasa"</formula>
    </cfRule>
    <cfRule type="cellIs" dxfId="555" priority="352" stopIfTrue="1" operator="equal">
      <formula>"Falla"</formula>
    </cfRule>
    <cfRule type="cellIs" dxfId="554" priority="353" stopIfTrue="1" operator="equal">
      <formula>"N/A"</formula>
    </cfRule>
    <cfRule type="cellIs" dxfId="553" priority="354" stopIfTrue="1" operator="equal">
      <formula>"N/T"</formula>
    </cfRule>
    <cfRule type="cellIs" dxfId="552" priority="355" stopIfTrue="1" operator="equal">
      <formula>"N/D"</formula>
    </cfRule>
  </conditionalFormatting>
  <conditionalFormatting sqref="D19:D53">
    <cfRule type="cellIs" dxfId="551" priority="349" stopIfTrue="1" operator="equal">
      <formula>"-"</formula>
    </cfRule>
  </conditionalFormatting>
  <conditionalFormatting sqref="D57:D91">
    <cfRule type="expression" dxfId="550" priority="343" stopIfTrue="1">
      <formula>ISBLANK(D57)</formula>
    </cfRule>
    <cfRule type="cellIs" dxfId="549" priority="344" stopIfTrue="1" operator="equal">
      <formula>"Pasa"</formula>
    </cfRule>
    <cfRule type="cellIs" dxfId="548" priority="345" stopIfTrue="1" operator="equal">
      <formula>"Falla"</formula>
    </cfRule>
    <cfRule type="cellIs" dxfId="547" priority="346" stopIfTrue="1" operator="equal">
      <formula>"N/A"</formula>
    </cfRule>
    <cfRule type="cellIs" dxfId="546" priority="347" stopIfTrue="1" operator="equal">
      <formula>"N/T"</formula>
    </cfRule>
    <cfRule type="cellIs" dxfId="545" priority="348" stopIfTrue="1" operator="equal">
      <formula>"N/D"</formula>
    </cfRule>
  </conditionalFormatting>
  <conditionalFormatting sqref="D57:D91">
    <cfRule type="cellIs" dxfId="544" priority="342" stopIfTrue="1" operator="equal">
      <formula>"-"</formula>
    </cfRule>
  </conditionalFormatting>
  <conditionalFormatting sqref="D95:D129">
    <cfRule type="expression" dxfId="543" priority="336" stopIfTrue="1">
      <formula>ISBLANK(D95)</formula>
    </cfRule>
    <cfRule type="cellIs" dxfId="542" priority="337" stopIfTrue="1" operator="equal">
      <formula>"Pasa"</formula>
    </cfRule>
    <cfRule type="cellIs" dxfId="541" priority="338" stopIfTrue="1" operator="equal">
      <formula>"Falla"</formula>
    </cfRule>
    <cfRule type="cellIs" dxfId="540" priority="339" stopIfTrue="1" operator="equal">
      <formula>"N/A"</formula>
    </cfRule>
    <cfRule type="cellIs" dxfId="539" priority="340" stopIfTrue="1" operator="equal">
      <formula>"N/T"</formula>
    </cfRule>
    <cfRule type="cellIs" dxfId="538" priority="341" stopIfTrue="1" operator="equal">
      <formula>"N/D"</formula>
    </cfRule>
  </conditionalFormatting>
  <conditionalFormatting sqref="D95:D129">
    <cfRule type="cellIs" dxfId="537" priority="335" stopIfTrue="1" operator="equal">
      <formula>"-"</formula>
    </cfRule>
  </conditionalFormatting>
  <conditionalFormatting sqref="D133:D167">
    <cfRule type="expression" dxfId="536" priority="329" stopIfTrue="1">
      <formula>ISBLANK(D133)</formula>
    </cfRule>
    <cfRule type="cellIs" dxfId="535" priority="330" stopIfTrue="1" operator="equal">
      <formula>"Pasa"</formula>
    </cfRule>
    <cfRule type="cellIs" dxfId="534" priority="331" stopIfTrue="1" operator="equal">
      <formula>"Falla"</formula>
    </cfRule>
    <cfRule type="cellIs" dxfId="533" priority="332" stopIfTrue="1" operator="equal">
      <formula>"N/A"</formula>
    </cfRule>
    <cfRule type="cellIs" dxfId="532" priority="333" stopIfTrue="1" operator="equal">
      <formula>"N/T"</formula>
    </cfRule>
    <cfRule type="cellIs" dxfId="531" priority="334" stopIfTrue="1" operator="equal">
      <formula>"N/D"</formula>
    </cfRule>
  </conditionalFormatting>
  <conditionalFormatting sqref="D133:D167">
    <cfRule type="cellIs" dxfId="530" priority="328" stopIfTrue="1" operator="equal">
      <formula>"-"</formula>
    </cfRule>
  </conditionalFormatting>
  <conditionalFormatting sqref="D171:D205">
    <cfRule type="expression" dxfId="529" priority="315" stopIfTrue="1">
      <formula>ISBLANK(D171)</formula>
    </cfRule>
    <cfRule type="cellIs" dxfId="528" priority="316" stopIfTrue="1" operator="equal">
      <formula>"Pasa"</formula>
    </cfRule>
    <cfRule type="cellIs" dxfId="527" priority="317" stopIfTrue="1" operator="equal">
      <formula>"Falla"</formula>
    </cfRule>
    <cfRule type="cellIs" dxfId="526" priority="318" stopIfTrue="1" operator="equal">
      <formula>"N/A"</formula>
    </cfRule>
    <cfRule type="cellIs" dxfId="525" priority="319" stopIfTrue="1" operator="equal">
      <formula>"N/T"</formula>
    </cfRule>
    <cfRule type="cellIs" dxfId="524" priority="320" stopIfTrue="1" operator="equal">
      <formula>"N/D"</formula>
    </cfRule>
  </conditionalFormatting>
  <conditionalFormatting sqref="D171:D205">
    <cfRule type="cellIs" dxfId="523" priority="314" stopIfTrue="1" operator="equal">
      <formula>"-"</formula>
    </cfRule>
  </conditionalFormatting>
  <conditionalFormatting sqref="D209:D243">
    <cfRule type="expression" dxfId="522" priority="308" stopIfTrue="1">
      <formula>ISBLANK(D209)</formula>
    </cfRule>
    <cfRule type="cellIs" dxfId="521" priority="309" stopIfTrue="1" operator="equal">
      <formula>"Pasa"</formula>
    </cfRule>
    <cfRule type="cellIs" dxfId="520" priority="310" stopIfTrue="1" operator="equal">
      <formula>"Falla"</formula>
    </cfRule>
    <cfRule type="cellIs" dxfId="519" priority="311" stopIfTrue="1" operator="equal">
      <formula>"N/A"</formula>
    </cfRule>
    <cfRule type="cellIs" dxfId="518" priority="312" stopIfTrue="1" operator="equal">
      <formula>"N/T"</formula>
    </cfRule>
    <cfRule type="cellIs" dxfId="517" priority="313" stopIfTrue="1" operator="equal">
      <formula>"N/D"</formula>
    </cfRule>
  </conditionalFormatting>
  <conditionalFormatting sqref="D209:D243">
    <cfRule type="cellIs" dxfId="516" priority="307" stopIfTrue="1" operator="equal">
      <formula>"-"</formula>
    </cfRule>
  </conditionalFormatting>
  <conditionalFormatting sqref="D247:D281">
    <cfRule type="expression" dxfId="515" priority="301" stopIfTrue="1">
      <formula>ISBLANK(D247)</formula>
    </cfRule>
    <cfRule type="cellIs" dxfId="514" priority="302" stopIfTrue="1" operator="equal">
      <formula>"Pasa"</formula>
    </cfRule>
    <cfRule type="cellIs" dxfId="513" priority="303" stopIfTrue="1" operator="equal">
      <formula>"Falla"</formula>
    </cfRule>
    <cfRule type="cellIs" dxfId="512" priority="304" stopIfTrue="1" operator="equal">
      <formula>"N/A"</formula>
    </cfRule>
    <cfRule type="cellIs" dxfId="511" priority="305" stopIfTrue="1" operator="equal">
      <formula>"N/T"</formula>
    </cfRule>
    <cfRule type="cellIs" dxfId="510" priority="306" stopIfTrue="1" operator="equal">
      <formula>"N/D"</formula>
    </cfRule>
  </conditionalFormatting>
  <conditionalFormatting sqref="D247:D281">
    <cfRule type="cellIs" dxfId="509" priority="300" stopIfTrue="1" operator="equal">
      <formula>"-"</formula>
    </cfRule>
  </conditionalFormatting>
  <conditionalFormatting sqref="D285:D319">
    <cfRule type="expression" dxfId="508" priority="294" stopIfTrue="1">
      <formula>ISBLANK(D285)</formula>
    </cfRule>
    <cfRule type="cellIs" dxfId="507" priority="295" stopIfTrue="1" operator="equal">
      <formula>"Pasa"</formula>
    </cfRule>
    <cfRule type="cellIs" dxfId="506" priority="296" stopIfTrue="1" operator="equal">
      <formula>"Falla"</formula>
    </cfRule>
    <cfRule type="cellIs" dxfId="505" priority="297" stopIfTrue="1" operator="equal">
      <formula>"N/A"</formula>
    </cfRule>
    <cfRule type="cellIs" dxfId="504" priority="298" stopIfTrue="1" operator="equal">
      <formula>"N/T"</formula>
    </cfRule>
    <cfRule type="cellIs" dxfId="503" priority="299" stopIfTrue="1" operator="equal">
      <formula>"N/D"</formula>
    </cfRule>
  </conditionalFormatting>
  <conditionalFormatting sqref="D285:D319">
    <cfRule type="cellIs" dxfId="502" priority="293" stopIfTrue="1" operator="equal">
      <formula>"-"</formula>
    </cfRule>
  </conditionalFormatting>
  <conditionalFormatting sqref="D323:D357">
    <cfRule type="expression" dxfId="501" priority="287" stopIfTrue="1">
      <formula>ISBLANK(D323)</formula>
    </cfRule>
    <cfRule type="cellIs" dxfId="500" priority="288" stopIfTrue="1" operator="equal">
      <formula>"Pasa"</formula>
    </cfRule>
    <cfRule type="cellIs" dxfId="499" priority="289" stopIfTrue="1" operator="equal">
      <formula>"Falla"</formula>
    </cfRule>
    <cfRule type="cellIs" dxfId="498" priority="290" stopIfTrue="1" operator="equal">
      <formula>"N/A"</formula>
    </cfRule>
    <cfRule type="cellIs" dxfId="497" priority="291" stopIfTrue="1" operator="equal">
      <formula>"N/T"</formula>
    </cfRule>
    <cfRule type="cellIs" dxfId="496" priority="292" stopIfTrue="1" operator="equal">
      <formula>"N/D"</formula>
    </cfRule>
  </conditionalFormatting>
  <conditionalFormatting sqref="D323:D357">
    <cfRule type="cellIs" dxfId="495" priority="286" stopIfTrue="1" operator="equal">
      <formula>"-"</formula>
    </cfRule>
  </conditionalFormatting>
  <conditionalFormatting sqref="D361:D395">
    <cfRule type="expression" dxfId="494" priority="280" stopIfTrue="1">
      <formula>ISBLANK(D361)</formula>
    </cfRule>
    <cfRule type="cellIs" dxfId="493" priority="281" stopIfTrue="1" operator="equal">
      <formula>"Pasa"</formula>
    </cfRule>
    <cfRule type="cellIs" dxfId="492" priority="282" stopIfTrue="1" operator="equal">
      <formula>"Falla"</formula>
    </cfRule>
    <cfRule type="cellIs" dxfId="491" priority="283" stopIfTrue="1" operator="equal">
      <formula>"N/A"</formula>
    </cfRule>
    <cfRule type="cellIs" dxfId="490" priority="284" stopIfTrue="1" operator="equal">
      <formula>"N/T"</formula>
    </cfRule>
    <cfRule type="cellIs" dxfId="489" priority="285" stopIfTrue="1" operator="equal">
      <formula>"N/D"</formula>
    </cfRule>
  </conditionalFormatting>
  <conditionalFormatting sqref="D361:D395">
    <cfRule type="cellIs" dxfId="488" priority="279" stopIfTrue="1" operator="equal">
      <formula>"-"</formula>
    </cfRule>
  </conditionalFormatting>
  <conditionalFormatting sqref="D399:D433">
    <cfRule type="expression" dxfId="487" priority="273" stopIfTrue="1">
      <formula>ISBLANK(D399)</formula>
    </cfRule>
    <cfRule type="cellIs" dxfId="486" priority="274" stopIfTrue="1" operator="equal">
      <formula>"Pasa"</formula>
    </cfRule>
    <cfRule type="cellIs" dxfId="485" priority="275" stopIfTrue="1" operator="equal">
      <formula>"Falla"</formula>
    </cfRule>
    <cfRule type="cellIs" dxfId="484" priority="276" stopIfTrue="1" operator="equal">
      <formula>"N/A"</formula>
    </cfRule>
    <cfRule type="cellIs" dxfId="483" priority="277" stopIfTrue="1" operator="equal">
      <formula>"N/T"</formula>
    </cfRule>
    <cfRule type="cellIs" dxfId="482" priority="278" stopIfTrue="1" operator="equal">
      <formula>"N/D"</formula>
    </cfRule>
  </conditionalFormatting>
  <conditionalFormatting sqref="D399:D433">
    <cfRule type="cellIs" dxfId="481" priority="272" stopIfTrue="1" operator="equal">
      <formula>"-"</formula>
    </cfRule>
  </conditionalFormatting>
  <conditionalFormatting sqref="D437:D471">
    <cfRule type="expression" dxfId="480" priority="266" stopIfTrue="1">
      <formula>ISBLANK(D437)</formula>
    </cfRule>
    <cfRule type="cellIs" dxfId="479" priority="267" stopIfTrue="1" operator="equal">
      <formula>"Pasa"</formula>
    </cfRule>
    <cfRule type="cellIs" dxfId="478" priority="268" stopIfTrue="1" operator="equal">
      <formula>"Falla"</formula>
    </cfRule>
    <cfRule type="cellIs" dxfId="477" priority="269" stopIfTrue="1" operator="equal">
      <formula>"N/A"</formula>
    </cfRule>
    <cfRule type="cellIs" dxfId="476" priority="270" stopIfTrue="1" operator="equal">
      <formula>"N/T"</formula>
    </cfRule>
    <cfRule type="cellIs" dxfId="475" priority="271" stopIfTrue="1" operator="equal">
      <formula>"N/D"</formula>
    </cfRule>
  </conditionalFormatting>
  <conditionalFormatting sqref="D437:D471">
    <cfRule type="cellIs" dxfId="474" priority="265" stopIfTrue="1" operator="equal">
      <formula>"-"</formula>
    </cfRule>
  </conditionalFormatting>
  <conditionalFormatting sqref="D475:D509">
    <cfRule type="expression" dxfId="473" priority="259" stopIfTrue="1">
      <formula>ISBLANK(D475)</formula>
    </cfRule>
    <cfRule type="cellIs" dxfId="472" priority="260" stopIfTrue="1" operator="equal">
      <formula>"Pasa"</formula>
    </cfRule>
    <cfRule type="cellIs" dxfId="471" priority="261" stopIfTrue="1" operator="equal">
      <formula>"Falla"</formula>
    </cfRule>
    <cfRule type="cellIs" dxfId="470" priority="262" stopIfTrue="1" operator="equal">
      <formula>"N/A"</formula>
    </cfRule>
    <cfRule type="cellIs" dxfId="469" priority="263" stopIfTrue="1" operator="equal">
      <formula>"N/T"</formula>
    </cfRule>
    <cfRule type="cellIs" dxfId="468" priority="264" stopIfTrue="1" operator="equal">
      <formula>"N/D"</formula>
    </cfRule>
  </conditionalFormatting>
  <conditionalFormatting sqref="D475:D509">
    <cfRule type="cellIs" dxfId="467" priority="258" stopIfTrue="1" operator="equal">
      <formula>"-"</formula>
    </cfRule>
  </conditionalFormatting>
  <conditionalFormatting sqref="D513:D547">
    <cfRule type="expression" dxfId="466" priority="252" stopIfTrue="1">
      <formula>ISBLANK(D513)</formula>
    </cfRule>
    <cfRule type="cellIs" dxfId="465" priority="253" stopIfTrue="1" operator="equal">
      <formula>"Pasa"</formula>
    </cfRule>
    <cfRule type="cellIs" dxfId="464" priority="254" stopIfTrue="1" operator="equal">
      <formula>"Falla"</formula>
    </cfRule>
    <cfRule type="cellIs" dxfId="463" priority="255" stopIfTrue="1" operator="equal">
      <formula>"N/A"</formula>
    </cfRule>
    <cfRule type="cellIs" dxfId="462" priority="256" stopIfTrue="1" operator="equal">
      <formula>"N/T"</formula>
    </cfRule>
    <cfRule type="cellIs" dxfId="461" priority="257" stopIfTrue="1" operator="equal">
      <formula>"N/D"</formula>
    </cfRule>
  </conditionalFormatting>
  <conditionalFormatting sqref="D513:D547">
    <cfRule type="cellIs" dxfId="460" priority="251" stopIfTrue="1" operator="equal">
      <formula>"-"</formula>
    </cfRule>
  </conditionalFormatting>
  <conditionalFormatting sqref="D551:D585">
    <cfRule type="expression" dxfId="459" priority="245" stopIfTrue="1">
      <formula>ISBLANK(D551)</formula>
    </cfRule>
    <cfRule type="cellIs" dxfId="458" priority="246" stopIfTrue="1" operator="equal">
      <formula>"Pasa"</formula>
    </cfRule>
    <cfRule type="cellIs" dxfId="457" priority="247" stopIfTrue="1" operator="equal">
      <formula>"Falla"</formula>
    </cfRule>
    <cfRule type="cellIs" dxfId="456" priority="248" stopIfTrue="1" operator="equal">
      <formula>"N/A"</formula>
    </cfRule>
    <cfRule type="cellIs" dxfId="455" priority="249" stopIfTrue="1" operator="equal">
      <formula>"N/T"</formula>
    </cfRule>
    <cfRule type="cellIs" dxfId="454" priority="250" stopIfTrue="1" operator="equal">
      <formula>"N/D"</formula>
    </cfRule>
  </conditionalFormatting>
  <conditionalFormatting sqref="D551:D585">
    <cfRule type="cellIs" dxfId="453" priority="244" stopIfTrue="1" operator="equal">
      <formula>"-"</formula>
    </cfRule>
  </conditionalFormatting>
  <conditionalFormatting sqref="D589:D623">
    <cfRule type="expression" dxfId="452" priority="238" stopIfTrue="1">
      <formula>ISBLANK(D589)</formula>
    </cfRule>
    <cfRule type="cellIs" dxfId="451" priority="239" stopIfTrue="1" operator="equal">
      <formula>"Pasa"</formula>
    </cfRule>
    <cfRule type="cellIs" dxfId="450" priority="240" stopIfTrue="1" operator="equal">
      <formula>"Falla"</formula>
    </cfRule>
    <cfRule type="cellIs" dxfId="449" priority="241" stopIfTrue="1" operator="equal">
      <formula>"N/A"</formula>
    </cfRule>
    <cfRule type="cellIs" dxfId="448" priority="242" stopIfTrue="1" operator="equal">
      <formula>"N/T"</formula>
    </cfRule>
    <cfRule type="cellIs" dxfId="447" priority="243" stopIfTrue="1" operator="equal">
      <formula>"N/D"</formula>
    </cfRule>
  </conditionalFormatting>
  <conditionalFormatting sqref="D589:D623">
    <cfRule type="cellIs" dxfId="446" priority="237" stopIfTrue="1" operator="equal">
      <formula>"-"</formula>
    </cfRule>
  </conditionalFormatting>
  <conditionalFormatting sqref="D627:D661">
    <cfRule type="expression" dxfId="445" priority="231" stopIfTrue="1">
      <formula>ISBLANK(D627)</formula>
    </cfRule>
    <cfRule type="cellIs" dxfId="444" priority="232" stopIfTrue="1" operator="equal">
      <formula>"Pasa"</formula>
    </cfRule>
    <cfRule type="cellIs" dxfId="443" priority="233" stopIfTrue="1" operator="equal">
      <formula>"Falla"</formula>
    </cfRule>
    <cfRule type="cellIs" dxfId="442" priority="234" stopIfTrue="1" operator="equal">
      <formula>"N/A"</formula>
    </cfRule>
    <cfRule type="cellIs" dxfId="441" priority="235" stopIfTrue="1" operator="equal">
      <formula>"N/T"</formula>
    </cfRule>
    <cfRule type="cellIs" dxfId="440" priority="236" stopIfTrue="1" operator="equal">
      <formula>"N/D"</formula>
    </cfRule>
  </conditionalFormatting>
  <conditionalFormatting sqref="D627:D661">
    <cfRule type="cellIs" dxfId="439" priority="230" stopIfTrue="1" operator="equal">
      <formula>"-"</formula>
    </cfRule>
  </conditionalFormatting>
  <conditionalFormatting sqref="D665:D699">
    <cfRule type="expression" dxfId="438" priority="224" stopIfTrue="1">
      <formula>ISBLANK(D665)</formula>
    </cfRule>
    <cfRule type="cellIs" dxfId="437" priority="225" stopIfTrue="1" operator="equal">
      <formula>"Pasa"</formula>
    </cfRule>
    <cfRule type="cellIs" dxfId="436" priority="226" stopIfTrue="1" operator="equal">
      <formula>"Falla"</formula>
    </cfRule>
    <cfRule type="cellIs" dxfId="435" priority="227" stopIfTrue="1" operator="equal">
      <formula>"N/A"</formula>
    </cfRule>
    <cfRule type="cellIs" dxfId="434" priority="228" stopIfTrue="1" operator="equal">
      <formula>"N/T"</formula>
    </cfRule>
    <cfRule type="cellIs" dxfId="433" priority="229" stopIfTrue="1" operator="equal">
      <formula>"N/D"</formula>
    </cfRule>
  </conditionalFormatting>
  <conditionalFormatting sqref="D665:D699">
    <cfRule type="cellIs" dxfId="432" priority="223" stopIfTrue="1" operator="equal">
      <formula>"-"</formula>
    </cfRule>
  </conditionalFormatting>
  <conditionalFormatting sqref="D703:D737">
    <cfRule type="expression" dxfId="431" priority="217" stopIfTrue="1">
      <formula>ISBLANK(D703)</formula>
    </cfRule>
    <cfRule type="cellIs" dxfId="430" priority="218" stopIfTrue="1" operator="equal">
      <formula>"Pasa"</formula>
    </cfRule>
    <cfRule type="cellIs" dxfId="429" priority="219" stopIfTrue="1" operator="equal">
      <formula>"Falla"</formula>
    </cfRule>
    <cfRule type="cellIs" dxfId="428" priority="220" stopIfTrue="1" operator="equal">
      <formula>"N/A"</formula>
    </cfRule>
    <cfRule type="cellIs" dxfId="427" priority="221" stopIfTrue="1" operator="equal">
      <formula>"N/T"</formula>
    </cfRule>
    <cfRule type="cellIs" dxfId="426" priority="222" stopIfTrue="1" operator="equal">
      <formula>"N/D"</formula>
    </cfRule>
  </conditionalFormatting>
  <conditionalFormatting sqref="D703:D737">
    <cfRule type="cellIs" dxfId="425" priority="216" stopIfTrue="1" operator="equal">
      <formula>"-"</formula>
    </cfRule>
  </conditionalFormatting>
  <conditionalFormatting sqref="D741:D775">
    <cfRule type="expression" dxfId="424" priority="210" stopIfTrue="1">
      <formula>ISBLANK(D741)</formula>
    </cfRule>
    <cfRule type="cellIs" dxfId="423" priority="211" stopIfTrue="1" operator="equal">
      <formula>"Pasa"</formula>
    </cfRule>
    <cfRule type="cellIs" dxfId="422" priority="212" stopIfTrue="1" operator="equal">
      <formula>"Falla"</formula>
    </cfRule>
    <cfRule type="cellIs" dxfId="421" priority="213" stopIfTrue="1" operator="equal">
      <formula>"N/A"</formula>
    </cfRule>
    <cfRule type="cellIs" dxfId="420" priority="214" stopIfTrue="1" operator="equal">
      <formula>"N/T"</formula>
    </cfRule>
    <cfRule type="cellIs" dxfId="419" priority="215" stopIfTrue="1" operator="equal">
      <formula>"N/D"</formula>
    </cfRule>
  </conditionalFormatting>
  <conditionalFormatting sqref="D741:D775">
    <cfRule type="cellIs" dxfId="418" priority="209" stopIfTrue="1" operator="equal">
      <formula>"-"</formula>
    </cfRule>
  </conditionalFormatting>
  <conditionalFormatting sqref="D779:D813">
    <cfRule type="expression" dxfId="417" priority="203" stopIfTrue="1">
      <formula>ISBLANK(D779)</formula>
    </cfRule>
    <cfRule type="cellIs" dxfId="416" priority="204" stopIfTrue="1" operator="equal">
      <formula>"Pasa"</formula>
    </cfRule>
    <cfRule type="cellIs" dxfId="415" priority="205" stopIfTrue="1" operator="equal">
      <formula>"Falla"</formula>
    </cfRule>
    <cfRule type="cellIs" dxfId="414" priority="206" stopIfTrue="1" operator="equal">
      <formula>"N/A"</formula>
    </cfRule>
    <cfRule type="cellIs" dxfId="413" priority="207" stopIfTrue="1" operator="equal">
      <formula>"N/T"</formula>
    </cfRule>
    <cfRule type="cellIs" dxfId="412" priority="208" stopIfTrue="1" operator="equal">
      <formula>"N/D"</formula>
    </cfRule>
  </conditionalFormatting>
  <conditionalFormatting sqref="D779:D813">
    <cfRule type="cellIs" dxfId="411" priority="202" stopIfTrue="1" operator="equal">
      <formula>"-"</formula>
    </cfRule>
  </conditionalFormatting>
  <conditionalFormatting sqref="D817:D851">
    <cfRule type="expression" dxfId="410" priority="196" stopIfTrue="1">
      <formula>ISBLANK(D817)</formula>
    </cfRule>
    <cfRule type="cellIs" dxfId="409" priority="197" stopIfTrue="1" operator="equal">
      <formula>"Pasa"</formula>
    </cfRule>
    <cfRule type="cellIs" dxfId="408" priority="198" stopIfTrue="1" operator="equal">
      <formula>"Falla"</formula>
    </cfRule>
    <cfRule type="cellIs" dxfId="407" priority="199" stopIfTrue="1" operator="equal">
      <formula>"N/A"</formula>
    </cfRule>
    <cfRule type="cellIs" dxfId="406" priority="200" stopIfTrue="1" operator="equal">
      <formula>"N/T"</formula>
    </cfRule>
    <cfRule type="cellIs" dxfId="405" priority="201" stopIfTrue="1" operator="equal">
      <formula>"N/D"</formula>
    </cfRule>
  </conditionalFormatting>
  <conditionalFormatting sqref="D817:D851">
    <cfRule type="cellIs" dxfId="404" priority="195" stopIfTrue="1" operator="equal">
      <formula>"-"</formula>
    </cfRule>
  </conditionalFormatting>
  <conditionalFormatting sqref="D855:D889">
    <cfRule type="expression" dxfId="403" priority="189" stopIfTrue="1">
      <formula>ISBLANK(D855)</formula>
    </cfRule>
    <cfRule type="cellIs" dxfId="402" priority="190" stopIfTrue="1" operator="equal">
      <formula>"Pasa"</formula>
    </cfRule>
    <cfRule type="cellIs" dxfId="401" priority="191" stopIfTrue="1" operator="equal">
      <formula>"Falla"</formula>
    </cfRule>
    <cfRule type="cellIs" dxfId="400" priority="192" stopIfTrue="1" operator="equal">
      <formula>"N/A"</formula>
    </cfRule>
    <cfRule type="cellIs" dxfId="399" priority="193" stopIfTrue="1" operator="equal">
      <formula>"N/T"</formula>
    </cfRule>
    <cfRule type="cellIs" dxfId="398" priority="194" stopIfTrue="1" operator="equal">
      <formula>"N/D"</formula>
    </cfRule>
  </conditionalFormatting>
  <conditionalFormatting sqref="D855:D889">
    <cfRule type="cellIs" dxfId="397" priority="188" stopIfTrue="1" operator="equal">
      <formula>"-"</formula>
    </cfRule>
  </conditionalFormatting>
  <conditionalFormatting sqref="D893:D927">
    <cfRule type="expression" dxfId="396" priority="182" stopIfTrue="1">
      <formula>ISBLANK(D893)</formula>
    </cfRule>
    <cfRule type="cellIs" dxfId="395" priority="183" stopIfTrue="1" operator="equal">
      <formula>"Pasa"</formula>
    </cfRule>
    <cfRule type="cellIs" dxfId="394" priority="184" stopIfTrue="1" operator="equal">
      <formula>"Falla"</formula>
    </cfRule>
    <cfRule type="cellIs" dxfId="393" priority="185" stopIfTrue="1" operator="equal">
      <formula>"N/A"</formula>
    </cfRule>
    <cfRule type="cellIs" dxfId="392" priority="186" stopIfTrue="1" operator="equal">
      <formula>"N/T"</formula>
    </cfRule>
    <cfRule type="cellIs" dxfId="391" priority="187" stopIfTrue="1" operator="equal">
      <formula>"N/D"</formula>
    </cfRule>
  </conditionalFormatting>
  <conditionalFormatting sqref="D893:D927">
    <cfRule type="cellIs" dxfId="390" priority="181" stopIfTrue="1" operator="equal">
      <formula>"-"</formula>
    </cfRule>
  </conditionalFormatting>
  <conditionalFormatting sqref="D931:D965">
    <cfRule type="expression" dxfId="389" priority="175" stopIfTrue="1">
      <formula>ISBLANK(D931)</formula>
    </cfRule>
    <cfRule type="cellIs" dxfId="388" priority="176" stopIfTrue="1" operator="equal">
      <formula>"Pasa"</formula>
    </cfRule>
    <cfRule type="cellIs" dxfId="387" priority="177" stopIfTrue="1" operator="equal">
      <formula>"Falla"</formula>
    </cfRule>
    <cfRule type="cellIs" dxfId="386" priority="178" stopIfTrue="1" operator="equal">
      <formula>"N/A"</formula>
    </cfRule>
    <cfRule type="cellIs" dxfId="385" priority="179" stopIfTrue="1" operator="equal">
      <formula>"N/T"</formula>
    </cfRule>
    <cfRule type="cellIs" dxfId="384" priority="180" stopIfTrue="1" operator="equal">
      <formula>"N/D"</formula>
    </cfRule>
  </conditionalFormatting>
  <conditionalFormatting sqref="D931:D965">
    <cfRule type="cellIs" dxfId="383" priority="174" stopIfTrue="1" operator="equal">
      <formula>"-"</formula>
    </cfRule>
  </conditionalFormatting>
  <conditionalFormatting sqref="D969:D1003">
    <cfRule type="expression" dxfId="382" priority="168" stopIfTrue="1">
      <formula>ISBLANK(D969)</formula>
    </cfRule>
    <cfRule type="cellIs" dxfId="381" priority="169" stopIfTrue="1" operator="equal">
      <formula>"Pasa"</formula>
    </cfRule>
    <cfRule type="cellIs" dxfId="380" priority="170" stopIfTrue="1" operator="equal">
      <formula>"Falla"</formula>
    </cfRule>
    <cfRule type="cellIs" dxfId="379" priority="171" stopIfTrue="1" operator="equal">
      <formula>"N/A"</formula>
    </cfRule>
    <cfRule type="cellIs" dxfId="378" priority="172" stopIfTrue="1" operator="equal">
      <formula>"N/T"</formula>
    </cfRule>
    <cfRule type="cellIs" dxfId="377" priority="173" stopIfTrue="1" operator="equal">
      <formula>"N/D"</formula>
    </cfRule>
  </conditionalFormatting>
  <conditionalFormatting sqref="D969:D1003">
    <cfRule type="cellIs" dxfId="376" priority="167" stopIfTrue="1" operator="equal">
      <formula>"-"</formula>
    </cfRule>
  </conditionalFormatting>
  <conditionalFormatting sqref="D1007:D1041">
    <cfRule type="expression" dxfId="375" priority="161" stopIfTrue="1">
      <formula>ISBLANK(D1007)</formula>
    </cfRule>
    <cfRule type="cellIs" dxfId="374" priority="162" stopIfTrue="1" operator="equal">
      <formula>"Pasa"</formula>
    </cfRule>
    <cfRule type="cellIs" dxfId="373" priority="163" stopIfTrue="1" operator="equal">
      <formula>"Falla"</formula>
    </cfRule>
    <cfRule type="cellIs" dxfId="372" priority="164" stopIfTrue="1" operator="equal">
      <formula>"N/A"</formula>
    </cfRule>
    <cfRule type="cellIs" dxfId="371" priority="165" stopIfTrue="1" operator="equal">
      <formula>"N/T"</formula>
    </cfRule>
    <cfRule type="cellIs" dxfId="370" priority="166" stopIfTrue="1" operator="equal">
      <formula>"N/D"</formula>
    </cfRule>
  </conditionalFormatting>
  <conditionalFormatting sqref="D1007:D1041">
    <cfRule type="cellIs" dxfId="369" priority="160" stopIfTrue="1" operator="equal">
      <formula>"-"</formula>
    </cfRule>
  </conditionalFormatting>
  <conditionalFormatting sqref="D1045:D1079">
    <cfRule type="expression" dxfId="368" priority="154" stopIfTrue="1">
      <formula>ISBLANK(D1045)</formula>
    </cfRule>
    <cfRule type="cellIs" dxfId="367" priority="155" stopIfTrue="1" operator="equal">
      <formula>"Pasa"</formula>
    </cfRule>
    <cfRule type="cellIs" dxfId="366" priority="156" stopIfTrue="1" operator="equal">
      <formula>"Falla"</formula>
    </cfRule>
    <cfRule type="cellIs" dxfId="365" priority="157" stopIfTrue="1" operator="equal">
      <formula>"N/A"</formula>
    </cfRule>
    <cfRule type="cellIs" dxfId="364" priority="158" stopIfTrue="1" operator="equal">
      <formula>"N/T"</formula>
    </cfRule>
    <cfRule type="cellIs" dxfId="363" priority="159" stopIfTrue="1" operator="equal">
      <formula>"N/D"</formula>
    </cfRule>
  </conditionalFormatting>
  <conditionalFormatting sqref="D1045:D1079">
    <cfRule type="cellIs" dxfId="362" priority="153" stopIfTrue="1" operator="equal">
      <formula>"-"</formula>
    </cfRule>
  </conditionalFormatting>
  <conditionalFormatting sqref="D1083:D1117">
    <cfRule type="expression" dxfId="361" priority="147" stopIfTrue="1">
      <formula>ISBLANK(D1083)</formula>
    </cfRule>
    <cfRule type="cellIs" dxfId="360" priority="148" stopIfTrue="1" operator="equal">
      <formula>"Pasa"</formula>
    </cfRule>
    <cfRule type="cellIs" dxfId="359" priority="149" stopIfTrue="1" operator="equal">
      <formula>"Falla"</formula>
    </cfRule>
    <cfRule type="cellIs" dxfId="358" priority="150" stopIfTrue="1" operator="equal">
      <formula>"N/A"</formula>
    </cfRule>
    <cfRule type="cellIs" dxfId="357" priority="151" stopIfTrue="1" operator="equal">
      <formula>"N/T"</formula>
    </cfRule>
    <cfRule type="cellIs" dxfId="356" priority="152" stopIfTrue="1" operator="equal">
      <formula>"N/D"</formula>
    </cfRule>
  </conditionalFormatting>
  <conditionalFormatting sqref="D1083:D1117">
    <cfRule type="cellIs" dxfId="355" priority="146" stopIfTrue="1" operator="equal">
      <formula>"-"</formula>
    </cfRule>
  </conditionalFormatting>
  <conditionalFormatting sqref="D1121:D1155">
    <cfRule type="expression" dxfId="354" priority="140" stopIfTrue="1">
      <formula>ISBLANK(D1121)</formula>
    </cfRule>
    <cfRule type="cellIs" dxfId="353" priority="141" stopIfTrue="1" operator="equal">
      <formula>"Pasa"</formula>
    </cfRule>
    <cfRule type="cellIs" dxfId="352" priority="142" stopIfTrue="1" operator="equal">
      <formula>"Falla"</formula>
    </cfRule>
    <cfRule type="cellIs" dxfId="351" priority="143" stopIfTrue="1" operator="equal">
      <formula>"N/A"</formula>
    </cfRule>
    <cfRule type="cellIs" dxfId="350" priority="144" stopIfTrue="1" operator="equal">
      <formula>"N/T"</formula>
    </cfRule>
    <cfRule type="cellIs" dxfId="349" priority="145" stopIfTrue="1" operator="equal">
      <formula>"N/D"</formula>
    </cfRule>
  </conditionalFormatting>
  <conditionalFormatting sqref="D1121:D1155">
    <cfRule type="cellIs" dxfId="348" priority="139" stopIfTrue="1" operator="equal">
      <formula>"-"</formula>
    </cfRule>
  </conditionalFormatting>
  <conditionalFormatting sqref="D1159:D1193">
    <cfRule type="expression" dxfId="347" priority="133" stopIfTrue="1">
      <formula>ISBLANK(D1159)</formula>
    </cfRule>
    <cfRule type="cellIs" dxfId="346" priority="134" stopIfTrue="1" operator="equal">
      <formula>"Pasa"</formula>
    </cfRule>
    <cfRule type="cellIs" dxfId="345" priority="135" stopIfTrue="1" operator="equal">
      <formula>"Falla"</formula>
    </cfRule>
    <cfRule type="cellIs" dxfId="344" priority="136" stopIfTrue="1" operator="equal">
      <formula>"N/A"</formula>
    </cfRule>
    <cfRule type="cellIs" dxfId="343" priority="137" stopIfTrue="1" operator="equal">
      <formula>"N/T"</formula>
    </cfRule>
    <cfRule type="cellIs" dxfId="342" priority="138" stopIfTrue="1" operator="equal">
      <formula>"N/D"</formula>
    </cfRule>
  </conditionalFormatting>
  <conditionalFormatting sqref="D1159:D1193">
    <cfRule type="cellIs" dxfId="341" priority="132" stopIfTrue="1" operator="equal">
      <formula>"-"</formula>
    </cfRule>
  </conditionalFormatting>
  <conditionalFormatting sqref="D1197:D1231">
    <cfRule type="expression" dxfId="340" priority="126" stopIfTrue="1">
      <formula>ISBLANK(D1197)</formula>
    </cfRule>
    <cfRule type="cellIs" dxfId="339" priority="127" stopIfTrue="1" operator="equal">
      <formula>"Pasa"</formula>
    </cfRule>
    <cfRule type="cellIs" dxfId="338" priority="128" stopIfTrue="1" operator="equal">
      <formula>"Falla"</formula>
    </cfRule>
    <cfRule type="cellIs" dxfId="337" priority="129" stopIfTrue="1" operator="equal">
      <formula>"N/A"</formula>
    </cfRule>
    <cfRule type="cellIs" dxfId="336" priority="130" stopIfTrue="1" operator="equal">
      <formula>"N/T"</formula>
    </cfRule>
    <cfRule type="cellIs" dxfId="335" priority="131" stopIfTrue="1" operator="equal">
      <formula>"N/D"</formula>
    </cfRule>
  </conditionalFormatting>
  <conditionalFormatting sqref="D1197:D1231">
    <cfRule type="cellIs" dxfId="334" priority="125" stopIfTrue="1" operator="equal">
      <formula>"-"</formula>
    </cfRule>
  </conditionalFormatting>
  <conditionalFormatting sqref="D1235:D1269">
    <cfRule type="expression" dxfId="333" priority="119" stopIfTrue="1">
      <formula>ISBLANK(D1235)</formula>
    </cfRule>
    <cfRule type="cellIs" dxfId="332" priority="120" stopIfTrue="1" operator="equal">
      <formula>"Pasa"</formula>
    </cfRule>
    <cfRule type="cellIs" dxfId="331" priority="121" stopIfTrue="1" operator="equal">
      <formula>"Falla"</formula>
    </cfRule>
    <cfRule type="cellIs" dxfId="330" priority="122" stopIfTrue="1" operator="equal">
      <formula>"N/A"</formula>
    </cfRule>
    <cfRule type="cellIs" dxfId="329" priority="123" stopIfTrue="1" operator="equal">
      <formula>"N/T"</formula>
    </cfRule>
    <cfRule type="cellIs" dxfId="328" priority="124" stopIfTrue="1" operator="equal">
      <formula>"N/D"</formula>
    </cfRule>
  </conditionalFormatting>
  <conditionalFormatting sqref="D1235:D1269">
    <cfRule type="cellIs" dxfId="327" priority="118" stopIfTrue="1" operator="equal">
      <formula>"-"</formula>
    </cfRule>
  </conditionalFormatting>
  <conditionalFormatting sqref="D1273:D1307">
    <cfRule type="expression" dxfId="326" priority="112" stopIfTrue="1">
      <formula>ISBLANK(D1273)</formula>
    </cfRule>
    <cfRule type="cellIs" dxfId="325" priority="113" stopIfTrue="1" operator="equal">
      <formula>"Pasa"</formula>
    </cfRule>
    <cfRule type="cellIs" dxfId="324" priority="114" stopIfTrue="1" operator="equal">
      <formula>"Falla"</formula>
    </cfRule>
    <cfRule type="cellIs" dxfId="323" priority="115" stopIfTrue="1" operator="equal">
      <formula>"N/A"</formula>
    </cfRule>
    <cfRule type="cellIs" dxfId="322" priority="116" stopIfTrue="1" operator="equal">
      <formula>"N/T"</formula>
    </cfRule>
    <cfRule type="cellIs" dxfId="321" priority="117" stopIfTrue="1" operator="equal">
      <formula>"N/D"</formula>
    </cfRule>
  </conditionalFormatting>
  <conditionalFormatting sqref="D1273:D1307">
    <cfRule type="cellIs" dxfId="320" priority="111" stopIfTrue="1" operator="equal">
      <formula>"-"</formula>
    </cfRule>
  </conditionalFormatting>
  <conditionalFormatting sqref="D1311:D1345">
    <cfRule type="expression" dxfId="319" priority="105" stopIfTrue="1">
      <formula>ISBLANK(D1311)</formula>
    </cfRule>
    <cfRule type="cellIs" dxfId="318" priority="106" stopIfTrue="1" operator="equal">
      <formula>"Pasa"</formula>
    </cfRule>
    <cfRule type="cellIs" dxfId="317" priority="107" stopIfTrue="1" operator="equal">
      <formula>"Falla"</formula>
    </cfRule>
    <cfRule type="cellIs" dxfId="316" priority="108" stopIfTrue="1" operator="equal">
      <formula>"N/A"</formula>
    </cfRule>
    <cfRule type="cellIs" dxfId="315" priority="109" stopIfTrue="1" operator="equal">
      <formula>"N/T"</formula>
    </cfRule>
    <cfRule type="cellIs" dxfId="314" priority="110" stopIfTrue="1" operator="equal">
      <formula>"N/D"</formula>
    </cfRule>
  </conditionalFormatting>
  <conditionalFormatting sqref="D1311:D1345">
    <cfRule type="cellIs" dxfId="313" priority="104" stopIfTrue="1" operator="equal">
      <formula>"-"</formula>
    </cfRule>
  </conditionalFormatting>
  <conditionalFormatting sqref="D1349:D1383">
    <cfRule type="expression" dxfId="312" priority="98" stopIfTrue="1">
      <formula>ISBLANK(D1349)</formula>
    </cfRule>
    <cfRule type="cellIs" dxfId="311" priority="99" stopIfTrue="1" operator="equal">
      <formula>"Pasa"</formula>
    </cfRule>
    <cfRule type="cellIs" dxfId="310" priority="100" stopIfTrue="1" operator="equal">
      <formula>"Falla"</formula>
    </cfRule>
    <cfRule type="cellIs" dxfId="309" priority="101" stopIfTrue="1" operator="equal">
      <formula>"N/A"</formula>
    </cfRule>
    <cfRule type="cellIs" dxfId="308" priority="102" stopIfTrue="1" operator="equal">
      <formula>"N/T"</formula>
    </cfRule>
    <cfRule type="cellIs" dxfId="307" priority="103" stopIfTrue="1" operator="equal">
      <formula>"N/D"</formula>
    </cfRule>
  </conditionalFormatting>
  <conditionalFormatting sqref="D1349:D1383">
    <cfRule type="cellIs" dxfId="306" priority="97" stopIfTrue="1" operator="equal">
      <formula>"-"</formula>
    </cfRule>
  </conditionalFormatting>
  <conditionalFormatting sqref="D1387:D1421">
    <cfRule type="expression" dxfId="305" priority="91" stopIfTrue="1">
      <formula>ISBLANK(D1387)</formula>
    </cfRule>
    <cfRule type="cellIs" dxfId="304" priority="92" stopIfTrue="1" operator="equal">
      <formula>"Pasa"</formula>
    </cfRule>
    <cfRule type="cellIs" dxfId="303" priority="93" stopIfTrue="1" operator="equal">
      <formula>"Falla"</formula>
    </cfRule>
    <cfRule type="cellIs" dxfId="302" priority="94" stopIfTrue="1" operator="equal">
      <formula>"N/A"</formula>
    </cfRule>
    <cfRule type="cellIs" dxfId="301" priority="95" stopIfTrue="1" operator="equal">
      <formula>"N/T"</formula>
    </cfRule>
    <cfRule type="cellIs" dxfId="300" priority="96" stopIfTrue="1" operator="equal">
      <formula>"N/D"</formula>
    </cfRule>
  </conditionalFormatting>
  <conditionalFormatting sqref="D1387:D1421">
    <cfRule type="cellIs" dxfId="299" priority="90" stopIfTrue="1" operator="equal">
      <formula>"-"</formula>
    </cfRule>
  </conditionalFormatting>
  <conditionalFormatting sqref="D1425:D1459">
    <cfRule type="expression" dxfId="298" priority="84" stopIfTrue="1">
      <formula>ISBLANK(D1425)</formula>
    </cfRule>
    <cfRule type="cellIs" dxfId="297" priority="85" stopIfTrue="1" operator="equal">
      <formula>"Pasa"</formula>
    </cfRule>
    <cfRule type="cellIs" dxfId="296" priority="86" stopIfTrue="1" operator="equal">
      <formula>"Falla"</formula>
    </cfRule>
    <cfRule type="cellIs" dxfId="295" priority="87" stopIfTrue="1" operator="equal">
      <formula>"N/A"</formula>
    </cfRule>
    <cfRule type="cellIs" dxfId="294" priority="88" stopIfTrue="1" operator="equal">
      <formula>"N/T"</formula>
    </cfRule>
    <cfRule type="cellIs" dxfId="293" priority="89" stopIfTrue="1" operator="equal">
      <formula>"N/D"</formula>
    </cfRule>
  </conditionalFormatting>
  <conditionalFormatting sqref="D1425:D1459">
    <cfRule type="cellIs" dxfId="292" priority="83" stopIfTrue="1" operator="equal">
      <formula>"-"</formula>
    </cfRule>
  </conditionalFormatting>
  <conditionalFormatting sqref="D1463:D1497">
    <cfRule type="expression" dxfId="291" priority="77" stopIfTrue="1">
      <formula>ISBLANK(D1463)</formula>
    </cfRule>
    <cfRule type="cellIs" dxfId="290" priority="78" stopIfTrue="1" operator="equal">
      <formula>"Pasa"</formula>
    </cfRule>
    <cfRule type="cellIs" dxfId="289" priority="79" stopIfTrue="1" operator="equal">
      <formula>"Falla"</formula>
    </cfRule>
    <cfRule type="cellIs" dxfId="288" priority="80" stopIfTrue="1" operator="equal">
      <formula>"N/A"</formula>
    </cfRule>
    <cfRule type="cellIs" dxfId="287" priority="81" stopIfTrue="1" operator="equal">
      <formula>"N/T"</formula>
    </cfRule>
    <cfRule type="cellIs" dxfId="286" priority="82" stopIfTrue="1" operator="equal">
      <formula>"N/D"</formula>
    </cfRule>
  </conditionalFormatting>
  <conditionalFormatting sqref="D1463:D1497">
    <cfRule type="cellIs" dxfId="285" priority="76" stopIfTrue="1" operator="equal">
      <formula>"-"</formula>
    </cfRule>
  </conditionalFormatting>
  <conditionalFormatting sqref="D1501:D1535">
    <cfRule type="expression" dxfId="284" priority="70" stopIfTrue="1">
      <formula>ISBLANK(D1501)</formula>
    </cfRule>
    <cfRule type="cellIs" dxfId="283" priority="71" stopIfTrue="1" operator="equal">
      <formula>"Pasa"</formula>
    </cfRule>
    <cfRule type="cellIs" dxfId="282" priority="72" stopIfTrue="1" operator="equal">
      <formula>"Falla"</formula>
    </cfRule>
    <cfRule type="cellIs" dxfId="281" priority="73" stopIfTrue="1" operator="equal">
      <formula>"N/A"</formula>
    </cfRule>
    <cfRule type="cellIs" dxfId="280" priority="74" stopIfTrue="1" operator="equal">
      <formula>"N/T"</formula>
    </cfRule>
    <cfRule type="cellIs" dxfId="279" priority="75" stopIfTrue="1" operator="equal">
      <formula>"N/D"</formula>
    </cfRule>
  </conditionalFormatting>
  <conditionalFormatting sqref="D1501:D1535">
    <cfRule type="cellIs" dxfId="278" priority="69" stopIfTrue="1" operator="equal">
      <formula>"-"</formula>
    </cfRule>
  </conditionalFormatting>
  <conditionalFormatting sqref="D1539:D1573">
    <cfRule type="expression" dxfId="277" priority="63" stopIfTrue="1">
      <formula>ISBLANK(D1539)</formula>
    </cfRule>
    <cfRule type="cellIs" dxfId="276" priority="64" stopIfTrue="1" operator="equal">
      <formula>"Pasa"</formula>
    </cfRule>
    <cfRule type="cellIs" dxfId="275" priority="65" stopIfTrue="1" operator="equal">
      <formula>"Falla"</formula>
    </cfRule>
    <cfRule type="cellIs" dxfId="274" priority="66" stopIfTrue="1" operator="equal">
      <formula>"N/A"</formula>
    </cfRule>
    <cfRule type="cellIs" dxfId="273" priority="67" stopIfTrue="1" operator="equal">
      <formula>"N/T"</formula>
    </cfRule>
    <cfRule type="cellIs" dxfId="272" priority="68" stopIfTrue="1" operator="equal">
      <formula>"N/D"</formula>
    </cfRule>
  </conditionalFormatting>
  <conditionalFormatting sqref="D1539:D1573">
    <cfRule type="cellIs" dxfId="271" priority="62" stopIfTrue="1" operator="equal">
      <formula>"-"</formula>
    </cfRule>
  </conditionalFormatting>
  <conditionalFormatting sqref="D1577:D1611">
    <cfRule type="expression" dxfId="270" priority="56" stopIfTrue="1">
      <formula>ISBLANK(D1577)</formula>
    </cfRule>
    <cfRule type="cellIs" dxfId="269" priority="57" stopIfTrue="1" operator="equal">
      <formula>"Pasa"</formula>
    </cfRule>
    <cfRule type="cellIs" dxfId="268" priority="58" stopIfTrue="1" operator="equal">
      <formula>"Falla"</formula>
    </cfRule>
    <cfRule type="cellIs" dxfId="267" priority="59" stopIfTrue="1" operator="equal">
      <formula>"N/A"</formula>
    </cfRule>
    <cfRule type="cellIs" dxfId="266" priority="60" stopIfTrue="1" operator="equal">
      <formula>"N/T"</formula>
    </cfRule>
    <cfRule type="cellIs" dxfId="265" priority="61" stopIfTrue="1" operator="equal">
      <formula>"N/D"</formula>
    </cfRule>
  </conditionalFormatting>
  <conditionalFormatting sqref="D1577:D1611">
    <cfRule type="cellIs" dxfId="264" priority="55" stopIfTrue="1" operator="equal">
      <formula>"-"</formula>
    </cfRule>
  </conditionalFormatting>
  <conditionalFormatting sqref="D1615:D1649">
    <cfRule type="expression" dxfId="263" priority="49" stopIfTrue="1">
      <formula>ISBLANK(D1615)</formula>
    </cfRule>
    <cfRule type="cellIs" dxfId="262" priority="50" stopIfTrue="1" operator="equal">
      <formula>"Pasa"</formula>
    </cfRule>
    <cfRule type="cellIs" dxfId="261" priority="51" stopIfTrue="1" operator="equal">
      <formula>"Falla"</formula>
    </cfRule>
    <cfRule type="cellIs" dxfId="260" priority="52" stopIfTrue="1" operator="equal">
      <formula>"N/A"</formula>
    </cfRule>
    <cfRule type="cellIs" dxfId="259" priority="53" stopIfTrue="1" operator="equal">
      <formula>"N/T"</formula>
    </cfRule>
    <cfRule type="cellIs" dxfId="258" priority="54" stopIfTrue="1" operator="equal">
      <formula>"N/D"</formula>
    </cfRule>
  </conditionalFormatting>
  <conditionalFormatting sqref="D1615:D1649">
    <cfRule type="cellIs" dxfId="257" priority="48" stopIfTrue="1" operator="equal">
      <formula>"-"</formula>
    </cfRule>
  </conditionalFormatting>
  <conditionalFormatting sqref="D1653:D1687">
    <cfRule type="expression" dxfId="256" priority="42" stopIfTrue="1">
      <formula>ISBLANK(D1653)</formula>
    </cfRule>
    <cfRule type="cellIs" dxfId="255" priority="43" stopIfTrue="1" operator="equal">
      <formula>"Pasa"</formula>
    </cfRule>
    <cfRule type="cellIs" dxfId="254" priority="44" stopIfTrue="1" operator="equal">
      <formula>"Falla"</formula>
    </cfRule>
    <cfRule type="cellIs" dxfId="253" priority="45" stopIfTrue="1" operator="equal">
      <formula>"N/A"</formula>
    </cfRule>
    <cfRule type="cellIs" dxfId="252" priority="46" stopIfTrue="1" operator="equal">
      <formula>"N/T"</formula>
    </cfRule>
    <cfRule type="cellIs" dxfId="251" priority="47" stopIfTrue="1" operator="equal">
      <formula>"N/D"</formula>
    </cfRule>
  </conditionalFormatting>
  <conditionalFormatting sqref="D1653:D1687">
    <cfRule type="cellIs" dxfId="250" priority="41" stopIfTrue="1" operator="equal">
      <formula>"-"</formula>
    </cfRule>
  </conditionalFormatting>
  <conditionalFormatting sqref="E1691:E1725">
    <cfRule type="cellIs" dxfId="249" priority="26" stopIfTrue="1" operator="equal">
      <formula>"ERR"</formula>
    </cfRule>
  </conditionalFormatting>
  <conditionalFormatting sqref="D1691:D1725">
    <cfRule type="expression" dxfId="248" priority="14" stopIfTrue="1">
      <formula>ISBLANK(D1691)</formula>
    </cfRule>
    <cfRule type="cellIs" dxfId="247" priority="15" stopIfTrue="1" operator="equal">
      <formula>"Pasa"</formula>
    </cfRule>
    <cfRule type="cellIs" dxfId="246" priority="16" stopIfTrue="1" operator="equal">
      <formula>"Falla"</formula>
    </cfRule>
    <cfRule type="cellIs" dxfId="245" priority="17" stopIfTrue="1" operator="equal">
      <formula>"N/A"</formula>
    </cfRule>
    <cfRule type="cellIs" dxfId="244" priority="18" stopIfTrue="1" operator="equal">
      <formula>"N/T"</formula>
    </cfRule>
    <cfRule type="cellIs" dxfId="243" priority="19" stopIfTrue="1" operator="equal">
      <formula>"N/D"</formula>
    </cfRule>
  </conditionalFormatting>
  <conditionalFormatting sqref="D1691:D1725">
    <cfRule type="cellIs" dxfId="242" priority="13" stopIfTrue="1" operator="equal">
      <formula>"-"</formula>
    </cfRule>
  </conditionalFormatting>
  <conditionalFormatting sqref="K23">
    <cfRule type="expression" dxfId="241" priority="7" stopIfTrue="1">
      <formula>ISBLANK(K23)</formula>
    </cfRule>
    <cfRule type="cellIs" dxfId="240" priority="8" stopIfTrue="1" operator="equal">
      <formula>"Pasa"</formula>
    </cfRule>
    <cfRule type="cellIs" dxfId="239" priority="9" stopIfTrue="1" operator="equal">
      <formula>"Falla"</formula>
    </cfRule>
    <cfRule type="cellIs" dxfId="238" priority="10" stopIfTrue="1" operator="equal">
      <formula>"N/A"</formula>
    </cfRule>
    <cfRule type="cellIs" dxfId="237" priority="11" stopIfTrue="1" operator="equal">
      <formula>"N/T"</formula>
    </cfRule>
    <cfRule type="cellIs" dxfId="236" priority="12" stopIfTrue="1" operator="equal">
      <formula>"N/D"</formula>
    </cfRule>
  </conditionalFormatting>
  <conditionalFormatting sqref="K24">
    <cfRule type="expression" dxfId="235" priority="1" stopIfTrue="1">
      <formula>ISBLANK(K24)</formula>
    </cfRule>
    <cfRule type="cellIs" dxfId="234" priority="2" stopIfTrue="1" operator="equal">
      <formula>"Pasa"</formula>
    </cfRule>
    <cfRule type="cellIs" dxfId="233" priority="3" stopIfTrue="1" operator="equal">
      <formula>"Falla"</formula>
    </cfRule>
    <cfRule type="cellIs" dxfId="232" priority="4" stopIfTrue="1" operator="equal">
      <formula>"N/A"</formula>
    </cfRule>
    <cfRule type="cellIs" dxfId="231" priority="5" stopIfTrue="1" operator="equal">
      <formula>"N/T"</formula>
    </cfRule>
    <cfRule type="cellIs" dxfId="23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EC6E5555-99D3-4FA9-96DC-DC88B9940306}">
  <ds:schemaRefs>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12bf43ed-f242-4ab4-a947-e37214b0e6c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Madrid Digital</cp:lastModifiedBy>
  <cp:revision>109</cp:revision>
  <dcterms:created xsi:type="dcterms:W3CDTF">2020-03-26T13:14:48Z</dcterms:created>
  <dcterms:modified xsi:type="dcterms:W3CDTF">2023-10-03T11:15:03Z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ies>
</file>