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12 Diciembre (provisional)\WEB\Provisionales\"/>
    </mc:Choice>
  </mc:AlternateContent>
  <workbookProtection lockStructure="1"/>
  <bookViews>
    <workbookView xWindow="0" yWindow="0" windowWidth="28800" windowHeight="12435"/>
  </bookViews>
  <sheets>
    <sheet name="G-CAPÍTULO-M12-2023" sheetId="1" r:id="rId1"/>
  </sheets>
  <calcPr calcId="152511"/>
</workbook>
</file>

<file path=xl/calcChain.xml><?xml version="1.0" encoding="utf-8"?>
<calcChain xmlns="http://schemas.openxmlformats.org/spreadsheetml/2006/main">
  <c r="L481" i="1" l="1"/>
  <c r="M481" i="1"/>
  <c r="N481" i="1"/>
  <c r="O481" i="1"/>
  <c r="P481" i="1"/>
  <c r="Q481" i="1"/>
  <c r="R481" i="1"/>
  <c r="S481" i="1"/>
  <c r="K481" i="1"/>
  <c r="C6" i="1" l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C74" i="1"/>
  <c r="E74" i="1"/>
  <c r="C75" i="1"/>
  <c r="E75" i="1"/>
  <c r="C76" i="1"/>
  <c r="E76" i="1"/>
  <c r="C77" i="1"/>
  <c r="E77" i="1"/>
  <c r="C78" i="1"/>
  <c r="E78" i="1"/>
  <c r="C79" i="1"/>
  <c r="E79" i="1"/>
  <c r="C80" i="1"/>
  <c r="E80" i="1"/>
  <c r="C81" i="1"/>
  <c r="E81" i="1"/>
  <c r="C82" i="1"/>
  <c r="E82" i="1"/>
  <c r="C83" i="1"/>
  <c r="E83" i="1"/>
  <c r="C84" i="1"/>
  <c r="E84" i="1"/>
  <c r="C85" i="1"/>
  <c r="E85" i="1"/>
  <c r="C86" i="1"/>
  <c r="E86" i="1"/>
  <c r="C87" i="1"/>
  <c r="E87" i="1"/>
  <c r="C88" i="1"/>
  <c r="E88" i="1"/>
  <c r="C89" i="1"/>
  <c r="E89" i="1"/>
  <c r="C90" i="1"/>
  <c r="E90" i="1"/>
  <c r="C91" i="1"/>
  <c r="E91" i="1"/>
  <c r="C92" i="1"/>
  <c r="E92" i="1"/>
  <c r="C93" i="1"/>
  <c r="E93" i="1"/>
  <c r="C94" i="1"/>
  <c r="E94" i="1"/>
  <c r="C95" i="1"/>
  <c r="E95" i="1"/>
  <c r="C96" i="1"/>
  <c r="E96" i="1"/>
  <c r="C97" i="1"/>
  <c r="E97" i="1"/>
  <c r="C98" i="1"/>
  <c r="E98" i="1"/>
  <c r="C99" i="1"/>
  <c r="E99" i="1"/>
  <c r="C100" i="1"/>
  <c r="E100" i="1"/>
  <c r="C101" i="1"/>
  <c r="E101" i="1"/>
  <c r="C102" i="1"/>
  <c r="E102" i="1"/>
  <c r="C103" i="1"/>
  <c r="E103" i="1"/>
  <c r="C104" i="1"/>
  <c r="E104" i="1"/>
  <c r="C105" i="1"/>
  <c r="E105" i="1"/>
  <c r="C106" i="1"/>
  <c r="E106" i="1"/>
  <c r="C107" i="1"/>
  <c r="E107" i="1"/>
  <c r="C108" i="1"/>
  <c r="E108" i="1"/>
  <c r="C109" i="1"/>
  <c r="E109" i="1"/>
  <c r="C110" i="1"/>
  <c r="E110" i="1"/>
  <c r="C111" i="1"/>
  <c r="E111" i="1"/>
  <c r="C112" i="1"/>
  <c r="E112" i="1"/>
  <c r="C113" i="1"/>
  <c r="E113" i="1"/>
  <c r="C114" i="1"/>
  <c r="E114" i="1"/>
  <c r="C115" i="1"/>
  <c r="E115" i="1"/>
  <c r="C116" i="1"/>
  <c r="E116" i="1"/>
  <c r="C117" i="1"/>
  <c r="E117" i="1"/>
  <c r="C118" i="1"/>
  <c r="E118" i="1"/>
  <c r="C119" i="1"/>
  <c r="E119" i="1"/>
  <c r="C120" i="1"/>
  <c r="E120" i="1"/>
  <c r="C121" i="1"/>
  <c r="E121" i="1"/>
  <c r="C122" i="1"/>
  <c r="E122" i="1"/>
  <c r="C123" i="1"/>
  <c r="E123" i="1"/>
  <c r="C124" i="1"/>
  <c r="E124" i="1"/>
  <c r="C125" i="1"/>
  <c r="E125" i="1"/>
  <c r="C126" i="1"/>
  <c r="E126" i="1"/>
  <c r="C127" i="1"/>
  <c r="E127" i="1"/>
  <c r="C128" i="1"/>
  <c r="E128" i="1"/>
  <c r="C129" i="1"/>
  <c r="E129" i="1"/>
  <c r="C130" i="1"/>
  <c r="E130" i="1"/>
  <c r="C131" i="1"/>
  <c r="E131" i="1"/>
  <c r="C132" i="1"/>
  <c r="E132" i="1"/>
  <c r="C133" i="1"/>
  <c r="E133" i="1"/>
  <c r="C134" i="1"/>
  <c r="E134" i="1"/>
  <c r="C135" i="1"/>
  <c r="E135" i="1"/>
  <c r="C136" i="1"/>
  <c r="E136" i="1"/>
  <c r="C137" i="1"/>
  <c r="E137" i="1"/>
  <c r="C138" i="1"/>
  <c r="E138" i="1"/>
  <c r="C139" i="1"/>
  <c r="E139" i="1"/>
  <c r="C140" i="1"/>
  <c r="E140" i="1"/>
  <c r="C141" i="1"/>
  <c r="E141" i="1"/>
  <c r="C142" i="1"/>
  <c r="E142" i="1"/>
  <c r="C143" i="1"/>
  <c r="E143" i="1"/>
  <c r="C144" i="1"/>
  <c r="E144" i="1"/>
  <c r="C145" i="1"/>
  <c r="E145" i="1"/>
  <c r="C146" i="1"/>
  <c r="E146" i="1"/>
  <c r="C147" i="1"/>
  <c r="E147" i="1"/>
  <c r="C148" i="1"/>
  <c r="E148" i="1"/>
  <c r="C149" i="1"/>
  <c r="E149" i="1"/>
  <c r="C150" i="1"/>
  <c r="E150" i="1"/>
  <c r="C151" i="1"/>
  <c r="E151" i="1"/>
  <c r="C152" i="1"/>
  <c r="E152" i="1"/>
  <c r="C153" i="1"/>
  <c r="E153" i="1"/>
  <c r="C154" i="1"/>
  <c r="E154" i="1"/>
  <c r="C155" i="1"/>
  <c r="E155" i="1"/>
  <c r="C156" i="1"/>
  <c r="E156" i="1"/>
  <c r="C157" i="1"/>
  <c r="E157" i="1"/>
  <c r="C158" i="1"/>
  <c r="E158" i="1"/>
  <c r="C159" i="1"/>
  <c r="E159" i="1"/>
  <c r="C160" i="1"/>
  <c r="E160" i="1"/>
  <c r="C161" i="1"/>
  <c r="E161" i="1"/>
  <c r="C162" i="1"/>
  <c r="E162" i="1"/>
  <c r="C163" i="1"/>
  <c r="E163" i="1"/>
  <c r="C164" i="1"/>
  <c r="E164" i="1"/>
  <c r="C165" i="1"/>
  <c r="E165" i="1"/>
  <c r="C166" i="1"/>
  <c r="E166" i="1"/>
  <c r="C167" i="1"/>
  <c r="E167" i="1"/>
  <c r="C168" i="1"/>
  <c r="E168" i="1"/>
  <c r="C169" i="1"/>
  <c r="E169" i="1"/>
  <c r="C170" i="1"/>
  <c r="E170" i="1"/>
  <c r="C171" i="1"/>
  <c r="E171" i="1"/>
  <c r="C172" i="1"/>
  <c r="E172" i="1"/>
  <c r="C173" i="1"/>
  <c r="E173" i="1"/>
  <c r="C174" i="1"/>
  <c r="E174" i="1"/>
  <c r="C175" i="1"/>
  <c r="E175" i="1"/>
  <c r="C176" i="1"/>
  <c r="E176" i="1"/>
  <c r="C177" i="1"/>
  <c r="E177" i="1"/>
  <c r="C178" i="1"/>
  <c r="E178" i="1"/>
  <c r="C179" i="1"/>
  <c r="E179" i="1"/>
  <c r="C180" i="1"/>
  <c r="E180" i="1"/>
  <c r="C181" i="1"/>
  <c r="E181" i="1"/>
  <c r="C182" i="1"/>
  <c r="E182" i="1"/>
  <c r="C183" i="1"/>
  <c r="E183" i="1"/>
  <c r="C184" i="1"/>
  <c r="E184" i="1"/>
  <c r="C185" i="1"/>
  <c r="E185" i="1"/>
  <c r="C186" i="1"/>
  <c r="E186" i="1"/>
  <c r="C187" i="1"/>
  <c r="E187" i="1"/>
  <c r="C188" i="1"/>
  <c r="E188" i="1"/>
  <c r="C189" i="1"/>
  <c r="E189" i="1"/>
  <c r="C190" i="1"/>
  <c r="E190" i="1"/>
  <c r="C191" i="1"/>
  <c r="E191" i="1"/>
  <c r="C192" i="1"/>
  <c r="E192" i="1"/>
  <c r="C193" i="1"/>
  <c r="E193" i="1"/>
  <c r="C194" i="1"/>
  <c r="E194" i="1"/>
  <c r="C195" i="1"/>
  <c r="E195" i="1"/>
  <c r="C196" i="1"/>
  <c r="E196" i="1"/>
  <c r="C197" i="1"/>
  <c r="E197" i="1"/>
  <c r="C198" i="1"/>
  <c r="E198" i="1"/>
  <c r="C199" i="1"/>
  <c r="E199" i="1"/>
  <c r="C200" i="1"/>
  <c r="E200" i="1"/>
  <c r="C201" i="1"/>
  <c r="E201" i="1"/>
  <c r="C202" i="1"/>
  <c r="E202" i="1"/>
  <c r="C203" i="1"/>
  <c r="E203" i="1"/>
  <c r="C204" i="1"/>
  <c r="E204" i="1"/>
  <c r="C205" i="1"/>
  <c r="E205" i="1"/>
  <c r="C206" i="1"/>
  <c r="E206" i="1"/>
  <c r="C207" i="1"/>
  <c r="E207" i="1"/>
  <c r="C208" i="1"/>
  <c r="E208" i="1"/>
  <c r="C209" i="1"/>
  <c r="E209" i="1"/>
  <c r="C210" i="1"/>
  <c r="E210" i="1"/>
  <c r="C211" i="1"/>
  <c r="E211" i="1"/>
  <c r="C212" i="1"/>
  <c r="E212" i="1"/>
  <c r="C213" i="1"/>
  <c r="E213" i="1"/>
  <c r="C214" i="1"/>
  <c r="E214" i="1"/>
  <c r="C215" i="1"/>
  <c r="E215" i="1"/>
  <c r="C216" i="1"/>
  <c r="E216" i="1"/>
  <c r="C217" i="1"/>
  <c r="E217" i="1"/>
  <c r="C218" i="1"/>
  <c r="E218" i="1"/>
  <c r="C219" i="1"/>
  <c r="E219" i="1"/>
  <c r="C220" i="1"/>
  <c r="E220" i="1"/>
  <c r="C221" i="1"/>
  <c r="E221" i="1"/>
  <c r="C222" i="1"/>
  <c r="E222" i="1"/>
  <c r="C223" i="1"/>
  <c r="E223" i="1"/>
  <c r="C224" i="1"/>
  <c r="E224" i="1"/>
  <c r="C225" i="1"/>
  <c r="E225" i="1"/>
  <c r="C226" i="1"/>
  <c r="E226" i="1"/>
  <c r="C227" i="1"/>
  <c r="E227" i="1"/>
  <c r="C228" i="1"/>
  <c r="E228" i="1"/>
  <c r="C229" i="1"/>
  <c r="E229" i="1"/>
  <c r="C230" i="1"/>
  <c r="E230" i="1"/>
  <c r="C231" i="1"/>
  <c r="E231" i="1"/>
  <c r="C232" i="1"/>
  <c r="E232" i="1"/>
  <c r="C233" i="1"/>
  <c r="E233" i="1"/>
  <c r="C234" i="1"/>
  <c r="E234" i="1"/>
  <c r="C235" i="1"/>
  <c r="E235" i="1"/>
  <c r="C236" i="1"/>
  <c r="E236" i="1"/>
  <c r="C237" i="1"/>
  <c r="E237" i="1"/>
  <c r="C238" i="1"/>
  <c r="E238" i="1"/>
  <c r="C239" i="1"/>
  <c r="E239" i="1"/>
  <c r="C240" i="1"/>
  <c r="E240" i="1"/>
  <c r="C241" i="1"/>
  <c r="E241" i="1"/>
  <c r="C242" i="1"/>
  <c r="E242" i="1"/>
  <c r="C243" i="1"/>
  <c r="E243" i="1"/>
  <c r="C244" i="1"/>
  <c r="E244" i="1"/>
  <c r="C245" i="1"/>
  <c r="E245" i="1"/>
  <c r="C246" i="1"/>
  <c r="E246" i="1"/>
  <c r="C247" i="1"/>
  <c r="E247" i="1"/>
  <c r="C248" i="1"/>
  <c r="E248" i="1"/>
  <c r="C249" i="1"/>
  <c r="E249" i="1"/>
  <c r="C250" i="1"/>
  <c r="E250" i="1"/>
  <c r="C251" i="1"/>
  <c r="E251" i="1"/>
  <c r="C252" i="1"/>
  <c r="E252" i="1"/>
  <c r="C253" i="1"/>
  <c r="E253" i="1"/>
  <c r="C254" i="1"/>
  <c r="E254" i="1"/>
  <c r="C255" i="1"/>
  <c r="E255" i="1"/>
  <c r="C256" i="1"/>
  <c r="E256" i="1"/>
  <c r="C257" i="1"/>
  <c r="E257" i="1"/>
  <c r="C258" i="1"/>
  <c r="E258" i="1"/>
  <c r="C259" i="1"/>
  <c r="E259" i="1"/>
  <c r="C260" i="1"/>
  <c r="E260" i="1"/>
  <c r="C261" i="1"/>
  <c r="E261" i="1"/>
  <c r="C262" i="1"/>
  <c r="E262" i="1"/>
  <c r="C263" i="1"/>
  <c r="E263" i="1"/>
  <c r="C264" i="1"/>
  <c r="E264" i="1"/>
  <c r="C265" i="1"/>
  <c r="E265" i="1"/>
  <c r="C266" i="1"/>
  <c r="E266" i="1"/>
  <c r="C267" i="1"/>
  <c r="E267" i="1"/>
  <c r="C268" i="1"/>
  <c r="E268" i="1"/>
  <c r="C269" i="1"/>
  <c r="E269" i="1"/>
  <c r="C270" i="1"/>
  <c r="E270" i="1"/>
  <c r="C271" i="1"/>
  <c r="E271" i="1"/>
  <c r="C272" i="1"/>
  <c r="E272" i="1"/>
  <c r="C273" i="1"/>
  <c r="E273" i="1"/>
  <c r="C274" i="1"/>
  <c r="E274" i="1"/>
  <c r="C275" i="1"/>
  <c r="E275" i="1"/>
  <c r="C276" i="1"/>
  <c r="E276" i="1"/>
  <c r="C277" i="1"/>
  <c r="E277" i="1"/>
  <c r="C278" i="1"/>
  <c r="E278" i="1"/>
  <c r="C279" i="1"/>
  <c r="E279" i="1"/>
  <c r="C280" i="1"/>
  <c r="E280" i="1"/>
  <c r="C281" i="1"/>
  <c r="E281" i="1"/>
  <c r="C282" i="1"/>
  <c r="E282" i="1"/>
  <c r="C283" i="1"/>
  <c r="E283" i="1"/>
  <c r="C284" i="1"/>
  <c r="E284" i="1"/>
  <c r="C285" i="1"/>
  <c r="E285" i="1"/>
  <c r="C286" i="1"/>
  <c r="E286" i="1"/>
  <c r="C287" i="1"/>
  <c r="E287" i="1"/>
  <c r="C288" i="1"/>
  <c r="E288" i="1"/>
  <c r="C289" i="1"/>
  <c r="E289" i="1"/>
  <c r="C290" i="1"/>
  <c r="E290" i="1"/>
  <c r="C291" i="1"/>
  <c r="E291" i="1"/>
  <c r="C292" i="1"/>
  <c r="E292" i="1"/>
  <c r="C293" i="1"/>
  <c r="E293" i="1"/>
  <c r="C294" i="1"/>
  <c r="E294" i="1"/>
  <c r="C295" i="1"/>
  <c r="E295" i="1"/>
  <c r="C296" i="1"/>
  <c r="E296" i="1"/>
  <c r="C297" i="1"/>
  <c r="E297" i="1"/>
  <c r="C298" i="1"/>
  <c r="E298" i="1"/>
  <c r="C299" i="1"/>
  <c r="E299" i="1"/>
  <c r="C300" i="1"/>
  <c r="E300" i="1"/>
  <c r="C301" i="1"/>
  <c r="E301" i="1"/>
  <c r="C302" i="1"/>
  <c r="E302" i="1"/>
  <c r="C303" i="1"/>
  <c r="E303" i="1"/>
  <c r="C304" i="1"/>
  <c r="E304" i="1"/>
  <c r="C305" i="1"/>
  <c r="E305" i="1"/>
  <c r="C306" i="1"/>
  <c r="E306" i="1"/>
  <c r="C307" i="1"/>
  <c r="E307" i="1"/>
  <c r="C308" i="1"/>
  <c r="E308" i="1"/>
  <c r="C309" i="1"/>
  <c r="E309" i="1"/>
  <c r="C310" i="1"/>
  <c r="E310" i="1"/>
  <c r="C311" i="1"/>
  <c r="E311" i="1"/>
  <c r="C312" i="1"/>
  <c r="E312" i="1"/>
  <c r="C313" i="1"/>
  <c r="E313" i="1"/>
  <c r="C314" i="1"/>
  <c r="E314" i="1"/>
  <c r="C315" i="1"/>
  <c r="E315" i="1"/>
  <c r="C316" i="1"/>
  <c r="E316" i="1"/>
  <c r="C317" i="1"/>
  <c r="E317" i="1"/>
  <c r="C318" i="1"/>
  <c r="E318" i="1"/>
  <c r="C319" i="1"/>
  <c r="E319" i="1"/>
  <c r="C320" i="1"/>
  <c r="E320" i="1"/>
  <c r="C321" i="1"/>
  <c r="E321" i="1"/>
  <c r="C322" i="1"/>
  <c r="E322" i="1"/>
  <c r="C323" i="1"/>
  <c r="E323" i="1"/>
  <c r="C324" i="1"/>
  <c r="E324" i="1"/>
  <c r="C325" i="1"/>
  <c r="E325" i="1"/>
  <c r="C326" i="1"/>
  <c r="E326" i="1"/>
  <c r="C327" i="1"/>
  <c r="E327" i="1"/>
  <c r="C328" i="1"/>
  <c r="E328" i="1"/>
  <c r="C329" i="1"/>
  <c r="E329" i="1"/>
  <c r="C330" i="1"/>
  <c r="E330" i="1"/>
  <c r="C331" i="1"/>
  <c r="E331" i="1"/>
  <c r="C332" i="1"/>
  <c r="E332" i="1"/>
  <c r="C333" i="1"/>
  <c r="E333" i="1"/>
  <c r="C334" i="1"/>
  <c r="E334" i="1"/>
  <c r="C335" i="1"/>
  <c r="E335" i="1"/>
  <c r="C336" i="1"/>
  <c r="E336" i="1"/>
  <c r="C337" i="1"/>
  <c r="E337" i="1"/>
  <c r="C338" i="1"/>
  <c r="E338" i="1"/>
  <c r="C339" i="1"/>
  <c r="E339" i="1"/>
  <c r="C340" i="1"/>
  <c r="E340" i="1"/>
  <c r="C341" i="1"/>
  <c r="E341" i="1"/>
  <c r="C342" i="1"/>
  <c r="E342" i="1"/>
  <c r="C343" i="1"/>
  <c r="E343" i="1"/>
  <c r="C344" i="1"/>
  <c r="E344" i="1"/>
  <c r="C345" i="1"/>
  <c r="E345" i="1"/>
  <c r="C346" i="1"/>
  <c r="E346" i="1"/>
  <c r="C347" i="1"/>
  <c r="E347" i="1"/>
  <c r="C348" i="1"/>
  <c r="E348" i="1"/>
  <c r="C349" i="1"/>
  <c r="E349" i="1"/>
  <c r="C350" i="1"/>
  <c r="E350" i="1"/>
  <c r="C351" i="1"/>
  <c r="E351" i="1"/>
  <c r="C352" i="1"/>
  <c r="E352" i="1"/>
  <c r="C353" i="1"/>
  <c r="E353" i="1"/>
  <c r="C354" i="1"/>
  <c r="E354" i="1"/>
  <c r="C355" i="1"/>
  <c r="E355" i="1"/>
  <c r="C356" i="1"/>
  <c r="E356" i="1"/>
  <c r="C357" i="1"/>
  <c r="E357" i="1"/>
  <c r="C358" i="1"/>
  <c r="E358" i="1"/>
  <c r="C359" i="1"/>
  <c r="E359" i="1"/>
  <c r="C360" i="1"/>
  <c r="E360" i="1"/>
  <c r="C361" i="1"/>
  <c r="E361" i="1"/>
  <c r="C362" i="1"/>
  <c r="E362" i="1"/>
  <c r="C363" i="1"/>
  <c r="E363" i="1"/>
  <c r="C364" i="1"/>
  <c r="E364" i="1"/>
  <c r="C365" i="1"/>
  <c r="E365" i="1"/>
  <c r="C366" i="1"/>
  <c r="E366" i="1"/>
  <c r="C367" i="1"/>
  <c r="E367" i="1"/>
  <c r="C368" i="1"/>
  <c r="E368" i="1"/>
  <c r="C369" i="1"/>
  <c r="E369" i="1"/>
  <c r="C370" i="1"/>
  <c r="E370" i="1"/>
  <c r="C371" i="1"/>
  <c r="E371" i="1"/>
  <c r="C372" i="1"/>
  <c r="E372" i="1"/>
  <c r="C373" i="1"/>
  <c r="E373" i="1"/>
  <c r="C374" i="1"/>
  <c r="E374" i="1"/>
  <c r="C375" i="1"/>
  <c r="E375" i="1"/>
  <c r="C376" i="1"/>
  <c r="E376" i="1"/>
  <c r="C377" i="1"/>
  <c r="E377" i="1"/>
  <c r="C378" i="1"/>
  <c r="E378" i="1"/>
  <c r="C379" i="1"/>
  <c r="E379" i="1"/>
  <c r="C380" i="1"/>
  <c r="E380" i="1"/>
  <c r="C381" i="1"/>
  <c r="E381" i="1"/>
  <c r="C382" i="1"/>
  <c r="E382" i="1"/>
  <c r="C383" i="1"/>
  <c r="E383" i="1"/>
  <c r="C384" i="1"/>
  <c r="E384" i="1"/>
  <c r="C385" i="1"/>
  <c r="E385" i="1"/>
  <c r="C386" i="1"/>
  <c r="E386" i="1"/>
  <c r="C387" i="1"/>
  <c r="E387" i="1"/>
  <c r="C388" i="1"/>
  <c r="E388" i="1"/>
  <c r="C389" i="1"/>
  <c r="E389" i="1"/>
  <c r="C390" i="1"/>
  <c r="E390" i="1"/>
  <c r="C391" i="1"/>
  <c r="E391" i="1"/>
  <c r="C392" i="1"/>
  <c r="E392" i="1"/>
  <c r="C393" i="1"/>
  <c r="E393" i="1"/>
  <c r="C394" i="1"/>
  <c r="E394" i="1"/>
  <c r="C395" i="1"/>
  <c r="E395" i="1"/>
  <c r="C396" i="1"/>
  <c r="E396" i="1"/>
  <c r="C397" i="1"/>
  <c r="E397" i="1"/>
  <c r="C398" i="1"/>
  <c r="E398" i="1"/>
  <c r="C399" i="1"/>
  <c r="E399" i="1"/>
  <c r="C400" i="1"/>
  <c r="E400" i="1"/>
  <c r="C401" i="1"/>
  <c r="E401" i="1"/>
  <c r="C402" i="1"/>
  <c r="E402" i="1"/>
  <c r="C403" i="1"/>
  <c r="E403" i="1"/>
  <c r="C404" i="1"/>
  <c r="E404" i="1"/>
  <c r="C405" i="1"/>
  <c r="E405" i="1"/>
  <c r="C406" i="1"/>
  <c r="E406" i="1"/>
  <c r="C407" i="1"/>
  <c r="E407" i="1"/>
  <c r="C408" i="1"/>
  <c r="E408" i="1"/>
  <c r="C409" i="1"/>
  <c r="E409" i="1"/>
  <c r="C410" i="1"/>
  <c r="E410" i="1"/>
  <c r="C411" i="1"/>
  <c r="E411" i="1"/>
  <c r="C412" i="1"/>
  <c r="E412" i="1"/>
  <c r="C413" i="1"/>
  <c r="E413" i="1"/>
  <c r="C414" i="1"/>
  <c r="E414" i="1"/>
  <c r="C415" i="1"/>
  <c r="E415" i="1"/>
  <c r="C416" i="1"/>
  <c r="E416" i="1"/>
  <c r="C417" i="1"/>
  <c r="E417" i="1"/>
  <c r="C418" i="1"/>
  <c r="E418" i="1"/>
  <c r="C419" i="1"/>
  <c r="E419" i="1"/>
  <c r="C420" i="1"/>
  <c r="E420" i="1"/>
  <c r="C421" i="1"/>
  <c r="E421" i="1"/>
  <c r="C422" i="1"/>
  <c r="E422" i="1"/>
  <c r="C423" i="1"/>
  <c r="E423" i="1"/>
  <c r="C424" i="1"/>
  <c r="E424" i="1"/>
  <c r="C425" i="1"/>
  <c r="E425" i="1"/>
  <c r="C426" i="1"/>
  <c r="E426" i="1"/>
  <c r="C427" i="1"/>
  <c r="E427" i="1"/>
  <c r="C428" i="1"/>
  <c r="E428" i="1"/>
  <c r="C429" i="1"/>
  <c r="E429" i="1"/>
  <c r="C430" i="1"/>
  <c r="E430" i="1"/>
  <c r="C431" i="1"/>
  <c r="E431" i="1"/>
  <c r="C432" i="1"/>
  <c r="E432" i="1"/>
  <c r="C433" i="1"/>
  <c r="E433" i="1"/>
  <c r="C434" i="1"/>
  <c r="E434" i="1"/>
  <c r="C435" i="1"/>
  <c r="E435" i="1"/>
  <c r="C436" i="1"/>
  <c r="E436" i="1"/>
  <c r="C437" i="1"/>
  <c r="E437" i="1"/>
  <c r="C438" i="1"/>
  <c r="E438" i="1"/>
  <c r="C439" i="1"/>
  <c r="E439" i="1"/>
  <c r="C440" i="1"/>
  <c r="E440" i="1"/>
  <c r="C441" i="1"/>
  <c r="E441" i="1"/>
  <c r="C442" i="1"/>
  <c r="E442" i="1"/>
  <c r="C443" i="1"/>
  <c r="E443" i="1"/>
  <c r="C444" i="1"/>
  <c r="E444" i="1"/>
  <c r="C445" i="1"/>
  <c r="E445" i="1"/>
  <c r="C446" i="1"/>
  <c r="E446" i="1"/>
  <c r="C447" i="1"/>
  <c r="E447" i="1"/>
  <c r="C448" i="1"/>
  <c r="E448" i="1"/>
  <c r="C449" i="1"/>
  <c r="E449" i="1"/>
  <c r="C450" i="1"/>
  <c r="E450" i="1"/>
  <c r="C451" i="1"/>
  <c r="E451" i="1"/>
  <c r="C452" i="1"/>
  <c r="E452" i="1"/>
  <c r="C453" i="1"/>
  <c r="E453" i="1"/>
  <c r="C454" i="1"/>
  <c r="E454" i="1"/>
  <c r="C455" i="1"/>
  <c r="E455" i="1"/>
  <c r="C456" i="1"/>
  <c r="E456" i="1"/>
  <c r="C457" i="1"/>
  <c r="E457" i="1"/>
  <c r="C458" i="1"/>
  <c r="E458" i="1"/>
  <c r="C459" i="1"/>
  <c r="E459" i="1"/>
  <c r="C460" i="1"/>
  <c r="E460" i="1"/>
  <c r="C461" i="1"/>
  <c r="E461" i="1"/>
  <c r="C462" i="1"/>
  <c r="E462" i="1"/>
  <c r="C463" i="1"/>
  <c r="E463" i="1"/>
  <c r="C464" i="1"/>
  <c r="E464" i="1"/>
  <c r="C465" i="1"/>
  <c r="E465" i="1"/>
  <c r="C466" i="1"/>
  <c r="E466" i="1"/>
  <c r="C467" i="1"/>
  <c r="E467" i="1"/>
  <c r="C468" i="1"/>
  <c r="E468" i="1"/>
  <c r="C469" i="1"/>
  <c r="E469" i="1"/>
  <c r="C470" i="1"/>
  <c r="E470" i="1"/>
  <c r="C471" i="1"/>
  <c r="E471" i="1"/>
  <c r="C472" i="1"/>
  <c r="E472" i="1"/>
  <c r="C473" i="1"/>
  <c r="E473" i="1"/>
  <c r="C474" i="1"/>
  <c r="E474" i="1"/>
  <c r="C475" i="1"/>
  <c r="E475" i="1"/>
  <c r="C476" i="1"/>
  <c r="E476" i="1"/>
  <c r="C477" i="1"/>
  <c r="E477" i="1"/>
  <c r="C478" i="1"/>
  <c r="E478" i="1"/>
  <c r="C479" i="1"/>
  <c r="E479" i="1"/>
  <c r="C480" i="1"/>
  <c r="E480" i="1"/>
</calcChain>
</file>

<file path=xl/sharedStrings.xml><?xml version="1.0" encoding="utf-8"?>
<sst xmlns="http://schemas.openxmlformats.org/spreadsheetml/2006/main" count="2882" uniqueCount="390">
  <si>
    <t>ESTADO DE EJECUCIÓN DEL PRESUPUESTO DE GASTOS</t>
  </si>
  <si>
    <t>PRESUPUESTO CORRIENTE 2023</t>
  </si>
  <si>
    <t>CENTRO PRESUPUESTARIO</t>
  </si>
  <si>
    <t>DESCRIPCIÓN CENTRO PRESUPUESTARIO</t>
  </si>
  <si>
    <t>SECCIÓN</t>
  </si>
  <si>
    <t>DESCRIPCIÓN SECCIÓN</t>
  </si>
  <si>
    <t>CENTRO GESTOR</t>
  </si>
  <si>
    <t>DESCRIPCIÓN CENTRO GESTOR</t>
  </si>
  <si>
    <t>PROGRAMA</t>
  </si>
  <si>
    <t>DESCRIPCIÓN PROGRAMA</t>
  </si>
  <si>
    <t>CAPÍTULO</t>
  </si>
  <si>
    <t>DESCRIPCIÓN CAPÍTULO</t>
  </si>
  <si>
    <t>CRÉDITO INICIAL</t>
  </si>
  <si>
    <t>CRÉDITO ACTUAL</t>
  </si>
  <si>
    <t>MOD. CRÉDITO</t>
  </si>
  <si>
    <t>AUTORIZADO</t>
  </si>
  <si>
    <t>SALDO CDTO. PTO.</t>
  </si>
  <si>
    <t>DISPUESTO</t>
  </si>
  <si>
    <t>SALDO AUTORIZ.</t>
  </si>
  <si>
    <t>OBLIGACIONES</t>
  </si>
  <si>
    <t>SALDO DISPOSIC.</t>
  </si>
  <si>
    <t>ADMINISTRACIÓN DE LA COMUNIDAD DE MADRID   </t>
  </si>
  <si>
    <t>PRESIDENCIA DE LA COMUNIDAD DE MADRID</t>
  </si>
  <si>
    <t>912M</t>
  </si>
  <si>
    <t>ASESORAMIENTO A LA PRESIDENCIA</t>
  </si>
  <si>
    <t>GASTOS DE PERSONAL</t>
  </si>
  <si>
    <t>GASTOS CORRIENTES EN BIENES Y SERVICIOS</t>
  </si>
  <si>
    <t>ACTIVOS FINANCIEROS</t>
  </si>
  <si>
    <t>CULTURA,TURISMO Y DEPORTE</t>
  </si>
  <si>
    <t>S.G.T.CULTURA,TURISMO Y DEPORTE</t>
  </si>
  <si>
    <t>331M</t>
  </si>
  <si>
    <t>DIRECCIÓN Y GEST.ADMIN.CULTURA,TURISMO Y DEPORTE</t>
  </si>
  <si>
    <t>INVERSIONES REALES</t>
  </si>
  <si>
    <t>D.G.PROMOCIÓN CULTURAL</t>
  </si>
  <si>
    <t>333A</t>
  </si>
  <si>
    <t>MUSEOS Y EXPOSICIONES</t>
  </si>
  <si>
    <t>TRANSFERENCIAS CORRIENTES</t>
  </si>
  <si>
    <t>334A</t>
  </si>
  <si>
    <t>PROMOCIÓN Y DIFUSIÓN CULTURAL</t>
  </si>
  <si>
    <t>GASTOS FINANCIEROS</t>
  </si>
  <si>
    <t>TRANSFERENCIAS DE CAPITAL</t>
  </si>
  <si>
    <t>D.G.PATRIMONIO CULTURAL</t>
  </si>
  <si>
    <t>332A</t>
  </si>
  <si>
    <t>ARCHIVOS,GEST.DOCUMENTOS Y PATRIMONIO DOCUMENTAL</t>
  </si>
  <si>
    <t>332B</t>
  </si>
  <si>
    <t>BIBLIOTECAS Y PATRIMONIO BIBLIOGRÁFICO</t>
  </si>
  <si>
    <t>337C</t>
  </si>
  <si>
    <t>PATRIMONIO HISTÓRICO-ARTÍSTICO</t>
  </si>
  <si>
    <t>D.G.TURISMO</t>
  </si>
  <si>
    <t>432A</t>
  </si>
  <si>
    <t>TURISMO</t>
  </si>
  <si>
    <t>MUS.ARQUEOL.Y PALEON.DE LA COM.DE MADRID</t>
  </si>
  <si>
    <t>D.G.DEPORTES</t>
  </si>
  <si>
    <t>336A</t>
  </si>
  <si>
    <t>ACTIVIDADES, TECNIFICACIÓN Y PROMOCIÓN DEPORTIVA</t>
  </si>
  <si>
    <t>ADMINISTRACIÓN LOCAL Y DIGITALIZACIÓN</t>
  </si>
  <si>
    <t>S.G.T.ADMIN.LOCAL Y DIGITALIZACIÓN</t>
  </si>
  <si>
    <t>942M</t>
  </si>
  <si>
    <t>DIR.Y G.ADM.ADMINISTRACIÓN LOCAL Y DIGITALIZACIÓN</t>
  </si>
  <si>
    <t>D.G.REEQUILIBRIO TERRITORIAL</t>
  </si>
  <si>
    <t>942O</t>
  </si>
  <si>
    <t>REEQUILIBRIO TERRITORIAL</t>
  </si>
  <si>
    <t>D.G.INVERSIONES Y DESARROLLO LOCAL</t>
  </si>
  <si>
    <t>942N</t>
  </si>
  <si>
    <t>ADMINISTRACIÓN LOCAL</t>
  </si>
  <si>
    <t>D.G.POLÍTICA DIGITAL</t>
  </si>
  <si>
    <t>928M</t>
  </si>
  <si>
    <t>POLÍTICA DIGITAL</t>
  </si>
  <si>
    <t>PRESIDENCIA,JUSTICIA E INTERIOR</t>
  </si>
  <si>
    <t>S.G.T.PRESIDENCIA,JUSTICIA E INTERIOR</t>
  </si>
  <si>
    <t>924M</t>
  </si>
  <si>
    <t>DIR.Y G.ADM.PRESIDENCIA,JUSTICIA E INTERIOR</t>
  </si>
  <si>
    <t>D.G.SEGURIDAD,PROTECC.CIVIL Y FORMACIÓN</t>
  </si>
  <si>
    <t>131M</t>
  </si>
  <si>
    <t>POLÍTICA INTERIOR</t>
  </si>
  <si>
    <t>132A</t>
  </si>
  <si>
    <t>SEGURIDAD</t>
  </si>
  <si>
    <t>932O</t>
  </si>
  <si>
    <t>ORDENACIÓN Y GESTIÓN DEL JUEGO</t>
  </si>
  <si>
    <t>D.G.EMERGENCIAS</t>
  </si>
  <si>
    <t>134A</t>
  </si>
  <si>
    <t>EMERGENCIAS</t>
  </si>
  <si>
    <t>ABOGACÍA GENERAL</t>
  </si>
  <si>
    <t>921S</t>
  </si>
  <si>
    <t>DEFENSA JURÍDICA</t>
  </si>
  <si>
    <t>D.G.TRANSPARENCIA Y ATENC.CIUDADANO</t>
  </si>
  <si>
    <t>921T</t>
  </si>
  <si>
    <t>GOBIERNO ABIERTO Y ATENCIÓN AL CIUDADANO</t>
  </si>
  <si>
    <t>D.G.MEDIOS DE COMUNICACIÓN</t>
  </si>
  <si>
    <t>921Q</t>
  </si>
  <si>
    <t>OFICINA DE COMUNICACIÓN DEL GOBIERNO</t>
  </si>
  <si>
    <t>D.G.COOP.ESTADO Y LA UNIÓN EUROPEA</t>
  </si>
  <si>
    <t>921U</t>
  </si>
  <si>
    <t>ASUNTOS EUROPEOS</t>
  </si>
  <si>
    <t>CENTRO DE ASUNTOS TAURINOS</t>
  </si>
  <si>
    <t>334D</t>
  </si>
  <si>
    <t>ASUNTOS TAURINOS</t>
  </si>
  <si>
    <t>COMISIÓN JURÍDICA ASESORA</t>
  </si>
  <si>
    <t>921X</t>
  </si>
  <si>
    <t>D.G.RR.HH.Y RELAC.CON LA ADMIN.JUSTICIA</t>
  </si>
  <si>
    <t>112B</t>
  </si>
  <si>
    <t>RELACIONES CON LA ADMINISTRACIÓN DE JUSTICIA</t>
  </si>
  <si>
    <t>112C</t>
  </si>
  <si>
    <t>PERSONAL AL SERVICIO DE LA ADMÓN.DE JUSTICIA</t>
  </si>
  <si>
    <t>D.G.INFRAESTRUCTURAS JUDICIALES</t>
  </si>
  <si>
    <t>112A</t>
  </si>
  <si>
    <t>MODERNIZAC.INFRAESTRUCTURAS ADMÓN.DE JUSTICIA</t>
  </si>
  <si>
    <t>ECONOMÍA,HACIENDA Y EMPLEO</t>
  </si>
  <si>
    <t>S.G.T.ECONOMÍA,HACIENDA Y EMPLEO</t>
  </si>
  <si>
    <t>923M</t>
  </si>
  <si>
    <t>DIR.Y GEST.ADMINISTR.ECONOMÍA,HACIENDA Y EMPLEO</t>
  </si>
  <si>
    <t>D.G.COMERCIO Y CONSUMO</t>
  </si>
  <si>
    <t>431A</t>
  </si>
  <si>
    <t>COMERCIO</t>
  </si>
  <si>
    <t>492A</t>
  </si>
  <si>
    <t>CONSUMO</t>
  </si>
  <si>
    <t>D.G.RECURSOS HUMANOS</t>
  </si>
  <si>
    <t>921M</t>
  </si>
  <si>
    <t>GESTIÓN DE RECURSOS HUMANOS</t>
  </si>
  <si>
    <t>D.G.PRESUPUESTOS</t>
  </si>
  <si>
    <t>921V</t>
  </si>
  <si>
    <t>COORDINACIÓN DE FONDOS EUROPEOS</t>
  </si>
  <si>
    <t>931N</t>
  </si>
  <si>
    <t>PRESUPUESTOS Y ANÁLISIS ECONÓMICO</t>
  </si>
  <si>
    <t>D.G.TRIBUTOS</t>
  </si>
  <si>
    <t>932M</t>
  </si>
  <si>
    <t>INGRESOS PÚBLICOS</t>
  </si>
  <si>
    <t>D.G.POLÍTICA FINANCIERA Y TESORERÍA</t>
  </si>
  <si>
    <t>931M</t>
  </si>
  <si>
    <t>PLANIFICACIÓN FINANCIERA Y TESORERÍA</t>
  </si>
  <si>
    <t>INTERVENCIÓN GENERAL</t>
  </si>
  <si>
    <t>931P</t>
  </si>
  <si>
    <t>CONTROL INTERNO</t>
  </si>
  <si>
    <t>INST.REG.ARBITRAJE DE CONSUMO</t>
  </si>
  <si>
    <t>492B</t>
  </si>
  <si>
    <t>ARBITRAJE DE CONSUMO</t>
  </si>
  <si>
    <t>D.G.FUNCIÓN PÚBLICA</t>
  </si>
  <si>
    <t>921N</t>
  </si>
  <si>
    <t>FUNCIÓN PÚBLICA</t>
  </si>
  <si>
    <t>D.G.PATRIMONIO Y CONTRATACIÓN</t>
  </si>
  <si>
    <t>923A</t>
  </si>
  <si>
    <t>GEST.DEL PATRIMONIO Y COORD.CONTRATACIÓN PÚBLICA</t>
  </si>
  <si>
    <t>D.G.ECONOMÍA</t>
  </si>
  <si>
    <t>433A</t>
  </si>
  <si>
    <t>ECONOMÍA</t>
  </si>
  <si>
    <t>923C</t>
  </si>
  <si>
    <t>ESTADÍSTICA</t>
  </si>
  <si>
    <t>D.G.AUTÓNOMOS Y EMPRENDIMIENTO</t>
  </si>
  <si>
    <t>241N</t>
  </si>
  <si>
    <t>DES.TRAB.AUTÓNOMO,ECONOMÍA SOCIAL Y RESP.SOC.EMPR.</t>
  </si>
  <si>
    <t>D.G.PROMOCIÓN ECONÓMICA E INDUSTRIAL</t>
  </si>
  <si>
    <t>422B</t>
  </si>
  <si>
    <t>INDUSTRIA</t>
  </si>
  <si>
    <t>463A</t>
  </si>
  <si>
    <t>COMPETITIVIDAD</t>
  </si>
  <si>
    <t>TRANSPORTES E INFRAESTRUCTURAS</t>
  </si>
  <si>
    <t>S.G.T.TRANSPORTES E INFRAESTRUCTURAS</t>
  </si>
  <si>
    <t>451M</t>
  </si>
  <si>
    <t>DIREC.Y GEST.ADM.TRANSPORTES E INFRAESTRUCTURAS</t>
  </si>
  <si>
    <t>D.G.TRANSPORTES Y MOVILIDAD</t>
  </si>
  <si>
    <t>453M</t>
  </si>
  <si>
    <t>CONTROL Y GESTIÓN DEL TRANSPORTE</t>
  </si>
  <si>
    <t>D.G.CARRETERAS</t>
  </si>
  <si>
    <t>453A</t>
  </si>
  <si>
    <t>CONSTRUCCIÓN Y CONSERVACIÓN DE CARRETERAS</t>
  </si>
  <si>
    <t>D.G.INFRAESTRUCTURAS</t>
  </si>
  <si>
    <t>453B</t>
  </si>
  <si>
    <t>INFRAESTRUCTURA DEL TRANSPORTE</t>
  </si>
  <si>
    <t>VICEPRESIDENCIA,CONS.DE EDUCA.Y UNIVERS.</t>
  </si>
  <si>
    <t>S.G.T.EDUCA,UNIVERS,CIENCIA Y PORTAV.</t>
  </si>
  <si>
    <t>321M</t>
  </si>
  <si>
    <t>DIR.Y GEST.ADMIN.EDUCA,UNIVERS,CIENCIA Y PORTAVOC.</t>
  </si>
  <si>
    <t>VICECONS.ORGANIZACIÓN EDUCATIVA</t>
  </si>
  <si>
    <t>D.G.EDUCA.INFANTIL,PRIMARIA Y ESPECIAL</t>
  </si>
  <si>
    <t>322A</t>
  </si>
  <si>
    <t>EDUCACIÓN INFANTIL, PRIMARIA Y ESPECIAL</t>
  </si>
  <si>
    <t>D.G.EDUCA.SECUNDARIA,F.P.Y RÉG.ESPECIAL</t>
  </si>
  <si>
    <t>322B</t>
  </si>
  <si>
    <t>EDUCACIÓN SECUNDARIA Y FORMACIÓN PROFESIONAL</t>
  </si>
  <si>
    <t>322E</t>
  </si>
  <si>
    <t>ENSEÑANZAS EN RÉGIMEN ESPECIAL NO UNIVERSITARIAS</t>
  </si>
  <si>
    <t>322F</t>
  </si>
  <si>
    <t>CENTROS ESPECÍFICOS DE FORMACIÓN PROFESIONAL</t>
  </si>
  <si>
    <t>D.G.EDUCA.CONC,BECAS Y AYUDAS AL ESTUDIO</t>
  </si>
  <si>
    <t>323M</t>
  </si>
  <si>
    <t>EDUCA.CONCERT,BECAS Y AYUDAS AL ESTUDIO</t>
  </si>
  <si>
    <t>D.G.UNIVERSIDADES Y ENS.ARTÍSTICAS SUP.</t>
  </si>
  <si>
    <t>322C</t>
  </si>
  <si>
    <t>UNIVERSIDADES</t>
  </si>
  <si>
    <t>D.G.INFRAESTRUCTURAS Y SERVICIOS</t>
  </si>
  <si>
    <t>321P</t>
  </si>
  <si>
    <t>GESTIÓN DE INFRAESTRUCTURAS EDUCATIVAS</t>
  </si>
  <si>
    <t>324M</t>
  </si>
  <si>
    <t>SERVICIOS COMPLEMENTARIOS DE LA ENSEÑANZA</t>
  </si>
  <si>
    <t>322G</t>
  </si>
  <si>
    <t>EDUCACIÓN COMPENSATORIA</t>
  </si>
  <si>
    <t>322O</t>
  </si>
  <si>
    <t>CALIDAD DE LA ENSEÑANZA</t>
  </si>
  <si>
    <t>322P</t>
  </si>
  <si>
    <t>OTROS GASTOS EN CENTROS EDUCATIVOS</t>
  </si>
  <si>
    <t>CONSEJO ESCOLAR</t>
  </si>
  <si>
    <t>321O</t>
  </si>
  <si>
    <t>DIRECCIÓN Y GESTIÓN ADMINISTRATIVA CONSEJO ESCOLAR</t>
  </si>
  <si>
    <t>D.G.INVESTIGACIÓN E INNOVACIÓN TECNOLÓG.</t>
  </si>
  <si>
    <t>466A</t>
  </si>
  <si>
    <t>INVESTIGACIÓN</t>
  </si>
  <si>
    <t>D.G.BILINGÜISMO Y CAL.DE LA ENSEÑANZA</t>
  </si>
  <si>
    <t>MEDIO AMBIENTE, VIVIENDA Y AGRICULTURA</t>
  </si>
  <si>
    <t>S.G.T.MEDIO AMB,VIVIENDA Y AGRICULTURA</t>
  </si>
  <si>
    <t>456M</t>
  </si>
  <si>
    <t>DIR.Y GEST.ADM.MEDIO AMB,VIVIENDA Y AGRICULTURA</t>
  </si>
  <si>
    <t>D.G.BIODIVERSIDAD Y RECURSOS NATURALES</t>
  </si>
  <si>
    <t>456A</t>
  </si>
  <si>
    <t>BIODIVERSIDAD Y RECURSOS NATURALES</t>
  </si>
  <si>
    <t>D.G.URBANISMO</t>
  </si>
  <si>
    <t>261P</t>
  </si>
  <si>
    <t>PLANIFICACIÓN Y GESTIÓN URBANÍSTICA</t>
  </si>
  <si>
    <t>D.G.AGRICULTURA,GANADER.Y ALIMENTACIÓN</t>
  </si>
  <si>
    <t>411A</t>
  </si>
  <si>
    <t>AGRICULTURA,GANADERÍA Y ALIMENTACIÓN</t>
  </si>
  <si>
    <t>D.G.DESCARBON.Y TRANSICIÓN ENERGÉTICA</t>
  </si>
  <si>
    <t>456B</t>
  </si>
  <si>
    <t>SOSTENIBILIDAD Y CAMBIO CLIMÁTICO</t>
  </si>
  <si>
    <t>D.G.ECONOMÍA CIRCULAR</t>
  </si>
  <si>
    <t>456N</t>
  </si>
  <si>
    <t>ECONOMÍA CIRCULAR</t>
  </si>
  <si>
    <t>D.G.SUELO</t>
  </si>
  <si>
    <t>261O</t>
  </si>
  <si>
    <t>SUELO Y CONSORCIOS URBANÍSTICOS</t>
  </si>
  <si>
    <t>D.G.VIVIENDA Y REHABILITACIÓN</t>
  </si>
  <si>
    <t>261A</t>
  </si>
  <si>
    <t>VIVIENDA Y REHABILITACIÓN</t>
  </si>
  <si>
    <t>SANIDAD</t>
  </si>
  <si>
    <t>S.G.T.SANIDAD</t>
  </si>
  <si>
    <t>311M</t>
  </si>
  <si>
    <t>DIRECCIÓN Y GESTIÓN ADMINISTRATIVA DE SANIDAD</t>
  </si>
  <si>
    <t>D.G.INVESTIGACIÓN,DOCENCIA E INNOVACIÓN</t>
  </si>
  <si>
    <t>312D</t>
  </si>
  <si>
    <t>INVESTIGACIÓN,DOCENCIA Y DOCUMENTACIÓN</t>
  </si>
  <si>
    <t>D.G.INSPECCIÓN,ORDENACIÓN Y ESTR.SANIT.</t>
  </si>
  <si>
    <t>311N</t>
  </si>
  <si>
    <t>INSPECCIÓN Y ORDENACIÓN SANITARIA</t>
  </si>
  <si>
    <t>D.G.SALUD PÚBLICA</t>
  </si>
  <si>
    <t>313B</t>
  </si>
  <si>
    <t>ACTUACIONES EN MATERIA DE SALUD PÚBLICA</t>
  </si>
  <si>
    <t>D.G.HUMANIZACIÓN Y ATENCIÓN AL PACIENTE</t>
  </si>
  <si>
    <t>311O</t>
  </si>
  <si>
    <t>HUMANIZACIÓN Y ATENCIÓN AL PACIENTE</t>
  </si>
  <si>
    <t>FAMILIA,JUVENTUD Y POLÍTICA SOCIAL</t>
  </si>
  <si>
    <t>S.G.T.FAMILIA,JUVENTUD Y POLÍTICA SOCIAL</t>
  </si>
  <si>
    <t>239M</t>
  </si>
  <si>
    <t>DIRECC.Y GEST.ADM.FAMILIA,JUVEN.Y POLÍTICA SOCIAL</t>
  </si>
  <si>
    <t>D.G.SERVICIOS SOCIALES</t>
  </si>
  <si>
    <t>232E</t>
  </si>
  <si>
    <t>LUCHA CONTRA LA EXCLUSIÓN SOCIAL</t>
  </si>
  <si>
    <t>D.G.ATENCIÓN AL MAYOR Y A LA DEPENDENCIA</t>
  </si>
  <si>
    <t>231D</t>
  </si>
  <si>
    <t>ATENCIÓN A PERSONAS MAYORES</t>
  </si>
  <si>
    <t>231I</t>
  </si>
  <si>
    <t>COORDINACIÓN DE LA DEPENDENCIA</t>
  </si>
  <si>
    <t>D.G.ATENCIÓN PERSONAS CON DISCAPACIDAD</t>
  </si>
  <si>
    <t>231A</t>
  </si>
  <si>
    <t>ATENC.SOCIAL ESPECIALIZADA PERS.CON ENFERM.MENTAL</t>
  </si>
  <si>
    <t>231C</t>
  </si>
  <si>
    <t>ATENCIÓN BÁSICA A PERSONAS CON DISCAPACIDAD</t>
  </si>
  <si>
    <t>231F</t>
  </si>
  <si>
    <t>ATENCIÓN ESPECIALIZ.A PERSONAS CON DISCAPACIDAD</t>
  </si>
  <si>
    <t>D.G.IGUALDAD</t>
  </si>
  <si>
    <t>232B</t>
  </si>
  <si>
    <t>ACC.CONTRA VIOL.GÉN.Y PROM.IGUALDAD OPORTUNIDADES</t>
  </si>
  <si>
    <t>D.G.INFANCIA,FAM.Y FOMENTO DE LA NATAL.</t>
  </si>
  <si>
    <t>232F</t>
  </si>
  <si>
    <t>PROTECCIÓN A LA FAMILIA Y AL MENOR</t>
  </si>
  <si>
    <t>D.G.JUVENTUD</t>
  </si>
  <si>
    <t>232A</t>
  </si>
  <si>
    <t>JUVENTUD</t>
  </si>
  <si>
    <t>D.G.INTEGRACIÓN</t>
  </si>
  <si>
    <t>232C</t>
  </si>
  <si>
    <t>INMIGRACIÓN</t>
  </si>
  <si>
    <t>232D</t>
  </si>
  <si>
    <t>VOLUNTARIADO Y COOPERACIÓN AL DESARROLLO</t>
  </si>
  <si>
    <t>232G</t>
  </si>
  <si>
    <t>INTEGRACIÓN SOCIAL Y PRESTACIONES ECONÓMICAS</t>
  </si>
  <si>
    <t>D.G.EVALUACIÓN,CALIDAD E INNOVACIÓN</t>
  </si>
  <si>
    <t>239O</t>
  </si>
  <si>
    <t>EVALUACIÓN, CALIDAD E INNOVACIÓN</t>
  </si>
  <si>
    <t>POLÍTICAS DE EMPLEO</t>
  </si>
  <si>
    <t>D.G.SERVICIO PÚBLICO DE EMPLEO</t>
  </si>
  <si>
    <t>241M</t>
  </si>
  <si>
    <t>PROMOCIÓN Y FOMENTO DEL EMPLEO</t>
  </si>
  <si>
    <t>D.G.TRABAJO</t>
  </si>
  <si>
    <t>494M</t>
  </si>
  <si>
    <t>TRABAJO</t>
  </si>
  <si>
    <t>D.G.FORMACIÓN</t>
  </si>
  <si>
    <t>241A</t>
  </si>
  <si>
    <t>FORMACIÓN PARA EL EMPLEO</t>
  </si>
  <si>
    <t>DEUDA PÚBLICA</t>
  </si>
  <si>
    <t>951M</t>
  </si>
  <si>
    <t>ENDEUDAMIENTO</t>
  </si>
  <si>
    <t>PASIVOS FINANCIEROS</t>
  </si>
  <si>
    <t>CRÉDITOS CENTRALIZADOS</t>
  </si>
  <si>
    <t>929N</t>
  </si>
  <si>
    <t>GESTIÓN CENTRALIZADA</t>
  </si>
  <si>
    <t>FONDO DE CONTINGENCIA</t>
  </si>
  <si>
    <t>AGENCIA MADRILEÑA DE ATENCIÓN SOCIAL</t>
  </si>
  <si>
    <t>231B</t>
  </si>
  <si>
    <t>CENTROS DE MAYORES</t>
  </si>
  <si>
    <t>231E</t>
  </si>
  <si>
    <t>COMEDORES SOCIALES</t>
  </si>
  <si>
    <t>231G</t>
  </si>
  <si>
    <t>ATENCIÓN A LA FAMILIA Y AL MENOR</t>
  </si>
  <si>
    <t>231H</t>
  </si>
  <si>
    <t>ATENCIÓN A PP.MAYORES EN RESIDENC.Y CENTROS DE DÍA</t>
  </si>
  <si>
    <t>231J</t>
  </si>
  <si>
    <t>ATENCIÓN A PERS.C/DISCAPACIDAD INTELEC.EN CENTROS</t>
  </si>
  <si>
    <t>239N</t>
  </si>
  <si>
    <t>DIRECC.Y COORD.AGENCIA MADR.DE ATENCIÓN SOCIAL</t>
  </si>
  <si>
    <t>C.A.D.I.ARGANDA DEL REY</t>
  </si>
  <si>
    <t>C.A.D.I.DOS DE MAYO</t>
  </si>
  <si>
    <t>C.A.D.I.GETAFE</t>
  </si>
  <si>
    <t>C.A.D.I.MIRASIERRA</t>
  </si>
  <si>
    <t>C.A.D.I.REINA SOFÍA</t>
  </si>
  <si>
    <t>C.O.BARAJAS</t>
  </si>
  <si>
    <t>C.O.CIUDAD LINEAL</t>
  </si>
  <si>
    <t>C.O.CARABANCHEL</t>
  </si>
  <si>
    <t>C.O.JUAN DE AUSTRIA</t>
  </si>
  <si>
    <t>C.O.ÁNGEL DE LA GUARDA</t>
  </si>
  <si>
    <t>C.O.ALUCHE</t>
  </si>
  <si>
    <t>C.O.NAZARET</t>
  </si>
  <si>
    <t>C.O.JUAN RAMÓN JIMÉNEZ</t>
  </si>
  <si>
    <t>R.M.ALCORCÓN</t>
  </si>
  <si>
    <t>R.M.ARGANDA DEL REY</t>
  </si>
  <si>
    <t>R.M.CISNEROS</t>
  </si>
  <si>
    <t>R.M.COLMENAR VIEJO</t>
  </si>
  <si>
    <t>R.M.DOCTOR GONZÁLEZ BUENO</t>
  </si>
  <si>
    <t>R.M.FRANCISCO DE VITORIA</t>
  </si>
  <si>
    <t>R.M.GASTÓN BAQUERO</t>
  </si>
  <si>
    <t>R.M.GETAFE</t>
  </si>
  <si>
    <t>R.M.GOYA</t>
  </si>
  <si>
    <t>R.M.GRAN RESIDENCIA</t>
  </si>
  <si>
    <t>R.M.LA PAZ</t>
  </si>
  <si>
    <t>R.M.MANOTERAS</t>
  </si>
  <si>
    <t>R.M.NAVALCARNERO</t>
  </si>
  <si>
    <t>R.M.NUESTRA SEÑORA DEL CARMEN</t>
  </si>
  <si>
    <t>R.M.PARLA</t>
  </si>
  <si>
    <t>R.M.REINA SOFÍA</t>
  </si>
  <si>
    <t>R.M.SAN FERNANDO DE HENARES</t>
  </si>
  <si>
    <t>R.M.SAN JOSÉ</t>
  </si>
  <si>
    <t>R.M.SAN MARTÍN DE VALDEIGLESIAS</t>
  </si>
  <si>
    <t>R.M.SANTIAGO RUSIÑOL</t>
  </si>
  <si>
    <t>R.M.TORRELAGUNA</t>
  </si>
  <si>
    <t>R.M.VALLECAS</t>
  </si>
  <si>
    <t>R.M.VILLAVICIOSA DE ODÓN</t>
  </si>
  <si>
    <t>R.M.VISTA ALEGRE</t>
  </si>
  <si>
    <t>R.M.ADOLFO SUÁREZ</t>
  </si>
  <si>
    <t>AG.C.M. REEDUC. Y REINS. MENOR INFRACTOR</t>
  </si>
  <si>
    <t>AG.C.M.REEDUC.Y REINSERC.MENOR INFRACTOR</t>
  </si>
  <si>
    <t>114A</t>
  </si>
  <si>
    <t>IRSST-INST. REGIONAL SEG. SALUD TRABAJO</t>
  </si>
  <si>
    <t>INST.REG.SEGURIDAD Y SALUD EN EL TRABAJO</t>
  </si>
  <si>
    <t>AG. SEGURIDAD Y EMERGENCIAS MADRID 112</t>
  </si>
  <si>
    <t>MADRID 112</t>
  </si>
  <si>
    <t>134M</t>
  </si>
  <si>
    <t>COORDINACIÓN DE EMERGENCIAS</t>
  </si>
  <si>
    <t>CONSORCIO REGIONAL TRANSPORTES DE MADRID</t>
  </si>
  <si>
    <t>CONSORCIO REGIONAL DE TRANSPORTES</t>
  </si>
  <si>
    <t>453N</t>
  </si>
  <si>
    <t>PROGRAMACIÓN Y DESARROLLO DEL TRANSPORTE</t>
  </si>
  <si>
    <t>BOLETÍN OFICIAL COMUNIDAD DE MADRID</t>
  </si>
  <si>
    <t>BOLETÍN OFICIAL DE LA COM.MADRID</t>
  </si>
  <si>
    <t>921R</t>
  </si>
  <si>
    <t>BOLETÍN OFICIAL DE LA COMUNIDAD DE MADRID</t>
  </si>
  <si>
    <t>IMIDRA-INST.MADR. INVES. Y DES.RURAL.AGR</t>
  </si>
  <si>
    <t>INST.MADR.INVEST.Y DES.RURAL,AGR.Y ALIM.</t>
  </si>
  <si>
    <t>467A</t>
  </si>
  <si>
    <t>INST.MADR.DE INVEST.Y DESARR.RURAL,AGRARIO Y ALIM.</t>
  </si>
  <si>
    <t>AG. VIVIENDA SOCIAL COMUNIDAD DE MADRID</t>
  </si>
  <si>
    <t>AGENCIA DE VIVIENDA SOCIAL DE LA C.M.</t>
  </si>
  <si>
    <t>261B</t>
  </si>
  <si>
    <t>VIVIENDA SOCIAL</t>
  </si>
  <si>
    <t>A002</t>
  </si>
  <si>
    <t>ASAMBLEA DE MADRID</t>
  </si>
  <si>
    <t>911N</t>
  </si>
  <si>
    <t>ACTIVIDAD LEGISLATIVA</t>
  </si>
  <si>
    <t>A003</t>
  </si>
  <si>
    <t>CÁMARA DE CUENTAS DE LA COMUNIDAD DE MADRID</t>
  </si>
  <si>
    <t>CÁMARA DE CUENTAS DE LA COM.MADRID</t>
  </si>
  <si>
    <t>911O</t>
  </si>
  <si>
    <t>CÁMARA DE CUENTAS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</si>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</sst>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4" fontId="0" fillId="0" borderId="0" xfId="42" applyNumberFormat="1" applyFont="1"/>
    <xf numFmtId="49" fontId="0" fillId="0" borderId="0" xfId="0" applyNumberFormat="1"/>
    <xf numFmtId="0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11</xdr:row>
      <xdr:rowOff>76200</xdr:rowOff>
    </xdr:from>
    <xdr:to>
      <xdr:col>9</xdr:col>
      <xdr:colOff>444900</xdr:colOff>
      <xdr:row>28</xdr:row>
      <xdr:rowOff>99343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235875">
          <a:off x="1190625" y="2171700"/>
          <a:ext cx="16332600" cy="326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tabSelected="1" workbookViewId="0">
      <selection activeCell="E9" sqref="E9"/>
    </sheetView>
  </sheetViews>
  <sheetFormatPr baseColWidth="10" defaultRowHeight="15" x14ac:dyDescent="0.25"/>
  <cols>
    <col min="1" max="1" width="31" style="3" customWidth="1"/>
    <col min="2" max="2" width="46.7109375" style="4" bestFit="1" customWidth="1"/>
    <col min="3" max="3" width="8.140625" style="4" bestFit="1" customWidth="1"/>
    <col min="4" max="4" width="39.85546875" bestFit="1" customWidth="1"/>
    <col min="5" max="5" width="14.7109375" style="3" bestFit="1" customWidth="1"/>
    <col min="6" max="6" width="42.85546875" bestFit="1" customWidth="1"/>
    <col min="7" max="7" width="10.7109375" bestFit="1" customWidth="1"/>
    <col min="8" max="8" width="53" bestFit="1" customWidth="1"/>
    <col min="9" max="9" width="9.140625" bestFit="1" customWidth="1"/>
    <col min="10" max="10" width="38.140625" bestFit="1" customWidth="1"/>
    <col min="11" max="12" width="16" bestFit="1" customWidth="1"/>
    <col min="13" max="13" width="15.5703125" bestFit="1" customWidth="1"/>
    <col min="14" max="14" width="16" bestFit="1" customWidth="1"/>
    <col min="15" max="15" width="16.5703125" bestFit="1" customWidth="1"/>
    <col min="16" max="16" width="16" bestFit="1" customWidth="1"/>
    <col min="17" max="17" width="14.7109375" bestFit="1" customWidth="1"/>
    <col min="18" max="18" width="16" bestFit="1" customWidth="1"/>
    <col min="19" max="19" width="15" bestFit="1" customWidth="1"/>
  </cols>
  <sheetData>
    <row r="1" spans="1:19" x14ac:dyDescent="0.25">
      <c r="A1" s="3" t="s">
        <v>0</v>
      </c>
    </row>
    <row r="2" spans="1:19" x14ac:dyDescent="0.25">
      <c r="A2" s="3" t="s">
        <v>1</v>
      </c>
    </row>
    <row r="3" spans="1:19" x14ac:dyDescent="0.25">
      <c r="A3" s="3" t="s">
        <v>389</v>
      </c>
    </row>
    <row r="5" spans="1:19" x14ac:dyDescent="0.25">
      <c r="A5" s="3" t="s">
        <v>2</v>
      </c>
      <c r="B5" s="4" t="s">
        <v>3</v>
      </c>
      <c r="C5" s="4" t="s">
        <v>4</v>
      </c>
      <c r="D5" t="s">
        <v>5</v>
      </c>
      <c r="E5" s="3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</row>
    <row r="6" spans="1:19" x14ac:dyDescent="0.25">
      <c r="A6" s="3">
        <v>1001</v>
      </c>
      <c r="B6" s="4" t="s">
        <v>21</v>
      </c>
      <c r="C6" s="4" t="str">
        <f>"03"</f>
        <v>03</v>
      </c>
      <c r="D6" t="s">
        <v>22</v>
      </c>
      <c r="E6" s="3" t="str">
        <f>"030010000"</f>
        <v>030010000</v>
      </c>
      <c r="F6" t="s">
        <v>22</v>
      </c>
      <c r="G6" t="s">
        <v>23</v>
      </c>
      <c r="H6" t="s">
        <v>24</v>
      </c>
      <c r="I6">
        <v>1</v>
      </c>
      <c r="J6" t="s">
        <v>25</v>
      </c>
      <c r="K6" s="1">
        <v>1557887</v>
      </c>
      <c r="L6" s="1">
        <v>1367211.25</v>
      </c>
      <c r="M6" s="1">
        <v>-190675.75</v>
      </c>
      <c r="N6" s="1">
        <v>1367203.47</v>
      </c>
      <c r="O6">
        <v>7.78</v>
      </c>
      <c r="P6" s="1">
        <v>1367203.47</v>
      </c>
      <c r="Q6">
        <v>0</v>
      </c>
      <c r="R6" s="1">
        <v>1367203.47</v>
      </c>
      <c r="S6">
        <v>0</v>
      </c>
    </row>
    <row r="7" spans="1:19" x14ac:dyDescent="0.25">
      <c r="A7" s="3">
        <v>1001</v>
      </c>
      <c r="B7" s="4" t="s">
        <v>21</v>
      </c>
      <c r="C7" s="4" t="str">
        <f>"03"</f>
        <v>03</v>
      </c>
      <c r="D7" t="s">
        <v>22</v>
      </c>
      <c r="E7" s="3" t="str">
        <f>"030010000"</f>
        <v>030010000</v>
      </c>
      <c r="F7" t="s">
        <v>22</v>
      </c>
      <c r="G7" t="s">
        <v>23</v>
      </c>
      <c r="H7" t="s">
        <v>24</v>
      </c>
      <c r="I7">
        <v>2</v>
      </c>
      <c r="J7" t="s">
        <v>26</v>
      </c>
      <c r="K7" s="1">
        <v>33295</v>
      </c>
      <c r="L7" s="1">
        <v>78295</v>
      </c>
      <c r="M7" s="1">
        <v>45000</v>
      </c>
      <c r="N7" s="1">
        <v>62624.87</v>
      </c>
      <c r="O7" s="1">
        <v>15670.13</v>
      </c>
      <c r="P7" s="1">
        <v>62624.87</v>
      </c>
      <c r="Q7">
        <v>0</v>
      </c>
      <c r="R7" s="1">
        <v>62624.87</v>
      </c>
      <c r="S7">
        <v>0</v>
      </c>
    </row>
    <row r="8" spans="1:19" x14ac:dyDescent="0.25">
      <c r="A8" s="3">
        <v>1001</v>
      </c>
      <c r="B8" s="4" t="s">
        <v>21</v>
      </c>
      <c r="C8" s="4" t="str">
        <f>"03"</f>
        <v>03</v>
      </c>
      <c r="D8" t="s">
        <v>22</v>
      </c>
      <c r="E8" s="3" t="str">
        <f>"030010000"</f>
        <v>030010000</v>
      </c>
      <c r="F8" t="s">
        <v>22</v>
      </c>
      <c r="G8" t="s">
        <v>23</v>
      </c>
      <c r="H8" t="s">
        <v>24</v>
      </c>
      <c r="I8">
        <v>8</v>
      </c>
      <c r="J8" t="s">
        <v>27</v>
      </c>
      <c r="K8" s="1">
        <v>1366</v>
      </c>
      <c r="L8">
        <v>0</v>
      </c>
      <c r="M8" s="1">
        <v>-1366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25">
      <c r="A9" s="3">
        <v>1001</v>
      </c>
      <c r="B9" s="4" t="s">
        <v>21</v>
      </c>
      <c r="C9" s="4" t="str">
        <f t="shared" ref="C9:C51" si="0">"04"</f>
        <v>04</v>
      </c>
      <c r="D9" t="s">
        <v>28</v>
      </c>
      <c r="E9" s="3" t="str">
        <f>"040010000"</f>
        <v>040010000</v>
      </c>
      <c r="F9" t="s">
        <v>29</v>
      </c>
      <c r="G9" t="s">
        <v>30</v>
      </c>
      <c r="H9" t="s">
        <v>31</v>
      </c>
      <c r="I9">
        <v>1</v>
      </c>
      <c r="J9" t="s">
        <v>25</v>
      </c>
      <c r="K9" s="1">
        <v>13213315</v>
      </c>
      <c r="L9" s="1">
        <v>12817516.369999999</v>
      </c>
      <c r="M9" s="1">
        <v>-395798.63</v>
      </c>
      <c r="N9" s="1">
        <v>12806679.48</v>
      </c>
      <c r="O9" s="1">
        <v>10836.89</v>
      </c>
      <c r="P9" s="1">
        <v>12806679.48</v>
      </c>
      <c r="Q9">
        <v>0</v>
      </c>
      <c r="R9" s="1">
        <v>12806679.48</v>
      </c>
      <c r="S9">
        <v>0</v>
      </c>
    </row>
    <row r="10" spans="1:19" x14ac:dyDescent="0.25">
      <c r="A10" s="3">
        <v>1001</v>
      </c>
      <c r="B10" s="4" t="s">
        <v>21</v>
      </c>
      <c r="C10" s="4" t="str">
        <f t="shared" si="0"/>
        <v>04</v>
      </c>
      <c r="D10" t="s">
        <v>28</v>
      </c>
      <c r="E10" s="3" t="str">
        <f>"040010000"</f>
        <v>040010000</v>
      </c>
      <c r="F10" t="s">
        <v>29</v>
      </c>
      <c r="G10" t="s">
        <v>30</v>
      </c>
      <c r="H10" t="s">
        <v>31</v>
      </c>
      <c r="I10">
        <v>2</v>
      </c>
      <c r="J10" t="s">
        <v>26</v>
      </c>
      <c r="K10" s="1">
        <v>12176313</v>
      </c>
      <c r="L10" s="1">
        <v>11805821</v>
      </c>
      <c r="M10" s="1">
        <v>-370492</v>
      </c>
      <c r="N10" s="1">
        <v>10710789.92</v>
      </c>
      <c r="O10" s="1">
        <v>1095031.08</v>
      </c>
      <c r="P10" s="1">
        <v>10710789.92</v>
      </c>
      <c r="Q10">
        <v>0</v>
      </c>
      <c r="R10" s="1">
        <v>10586692.27</v>
      </c>
      <c r="S10" s="1">
        <v>124097.65</v>
      </c>
    </row>
    <row r="11" spans="1:19" x14ac:dyDescent="0.25">
      <c r="A11" s="3">
        <v>1001</v>
      </c>
      <c r="B11" s="4" t="s">
        <v>21</v>
      </c>
      <c r="C11" s="4" t="str">
        <f t="shared" si="0"/>
        <v>04</v>
      </c>
      <c r="D11" t="s">
        <v>28</v>
      </c>
      <c r="E11" s="3" t="str">
        <f>"040010000"</f>
        <v>040010000</v>
      </c>
      <c r="F11" t="s">
        <v>29</v>
      </c>
      <c r="G11" t="s">
        <v>30</v>
      </c>
      <c r="H11" t="s">
        <v>31</v>
      </c>
      <c r="I11">
        <v>6</v>
      </c>
      <c r="J11" t="s">
        <v>32</v>
      </c>
      <c r="K11" s="1">
        <v>525645</v>
      </c>
      <c r="L11" s="1">
        <v>345596.36</v>
      </c>
      <c r="M11" s="1">
        <v>-180048.64000000001</v>
      </c>
      <c r="N11" s="1">
        <v>308832.73</v>
      </c>
      <c r="O11" s="1">
        <v>36763.629999999997</v>
      </c>
      <c r="P11" s="1">
        <v>308832.73</v>
      </c>
      <c r="Q11">
        <v>0</v>
      </c>
      <c r="R11" s="1">
        <v>249618.43</v>
      </c>
      <c r="S11" s="1">
        <v>59214.3</v>
      </c>
    </row>
    <row r="12" spans="1:19" x14ac:dyDescent="0.25">
      <c r="A12" s="3">
        <v>1001</v>
      </c>
      <c r="B12" s="4" t="s">
        <v>21</v>
      </c>
      <c r="C12" s="4" t="str">
        <f t="shared" si="0"/>
        <v>04</v>
      </c>
      <c r="D12" t="s">
        <v>28</v>
      </c>
      <c r="E12" s="3" t="str">
        <f>"040010000"</f>
        <v>040010000</v>
      </c>
      <c r="F12" t="s">
        <v>29</v>
      </c>
      <c r="G12" t="s">
        <v>30</v>
      </c>
      <c r="H12" t="s">
        <v>31</v>
      </c>
      <c r="I12">
        <v>8</v>
      </c>
      <c r="J12" t="s">
        <v>27</v>
      </c>
      <c r="K12" s="1">
        <v>176077</v>
      </c>
      <c r="L12" s="1">
        <v>176077</v>
      </c>
      <c r="M12">
        <v>0</v>
      </c>
      <c r="N12" s="1">
        <v>40625.040000000001</v>
      </c>
      <c r="O12" s="1">
        <v>135451.96</v>
      </c>
      <c r="P12" s="1">
        <v>40625.040000000001</v>
      </c>
      <c r="Q12">
        <v>0</v>
      </c>
      <c r="R12" s="1">
        <v>40625.040000000001</v>
      </c>
      <c r="S12">
        <v>0</v>
      </c>
    </row>
    <row r="13" spans="1:19" x14ac:dyDescent="0.25">
      <c r="A13" s="3">
        <v>1001</v>
      </c>
      <c r="B13" s="4" t="s">
        <v>21</v>
      </c>
      <c r="C13" s="4" t="str">
        <f t="shared" si="0"/>
        <v>04</v>
      </c>
      <c r="D13" t="s">
        <v>28</v>
      </c>
      <c r="E13" s="3" t="str">
        <f t="shared" ref="E13:E23" si="1">"040100000"</f>
        <v>040100000</v>
      </c>
      <c r="F13" t="s">
        <v>33</v>
      </c>
      <c r="G13" t="s">
        <v>34</v>
      </c>
      <c r="H13" t="s">
        <v>35</v>
      </c>
      <c r="I13">
        <v>1</v>
      </c>
      <c r="J13" t="s">
        <v>25</v>
      </c>
      <c r="K13" s="1">
        <v>2695987</v>
      </c>
      <c r="L13" s="1">
        <v>2855047.27</v>
      </c>
      <c r="M13" s="1">
        <v>159060.26999999999</v>
      </c>
      <c r="N13" s="1">
        <v>2854272.24</v>
      </c>
      <c r="O13">
        <v>775.03</v>
      </c>
      <c r="P13" s="1">
        <v>2854272.24</v>
      </c>
      <c r="Q13">
        <v>0</v>
      </c>
      <c r="R13" s="1">
        <v>2854272.24</v>
      </c>
      <c r="S13">
        <v>0</v>
      </c>
    </row>
    <row r="14" spans="1:19" x14ac:dyDescent="0.25">
      <c r="A14" s="3">
        <v>1001</v>
      </c>
      <c r="B14" s="4" t="s">
        <v>21</v>
      </c>
      <c r="C14" s="4" t="str">
        <f t="shared" si="0"/>
        <v>04</v>
      </c>
      <c r="D14" t="s">
        <v>28</v>
      </c>
      <c r="E14" s="3" t="str">
        <f t="shared" si="1"/>
        <v>040100000</v>
      </c>
      <c r="F14" t="s">
        <v>33</v>
      </c>
      <c r="G14" t="s">
        <v>34</v>
      </c>
      <c r="H14" t="s">
        <v>35</v>
      </c>
      <c r="I14">
        <v>2</v>
      </c>
      <c r="J14" t="s">
        <v>26</v>
      </c>
      <c r="K14" s="1">
        <v>7025720</v>
      </c>
      <c r="L14" s="1">
        <v>7140720</v>
      </c>
      <c r="M14" s="1">
        <v>115000</v>
      </c>
      <c r="N14" s="1">
        <v>6811303.0800000001</v>
      </c>
      <c r="O14" s="1">
        <v>329416.92</v>
      </c>
      <c r="P14" s="1">
        <v>6809036.8099999996</v>
      </c>
      <c r="Q14" s="1">
        <v>2266.27</v>
      </c>
      <c r="R14" s="1">
        <v>6461144.9400000004</v>
      </c>
      <c r="S14" s="1">
        <v>347891.87</v>
      </c>
    </row>
    <row r="15" spans="1:19" x14ac:dyDescent="0.25">
      <c r="A15" s="3">
        <v>1001</v>
      </c>
      <c r="B15" s="4" t="s">
        <v>21</v>
      </c>
      <c r="C15" s="4" t="str">
        <f t="shared" si="0"/>
        <v>04</v>
      </c>
      <c r="D15" t="s">
        <v>28</v>
      </c>
      <c r="E15" s="3" t="str">
        <f t="shared" si="1"/>
        <v>040100000</v>
      </c>
      <c r="F15" t="s">
        <v>33</v>
      </c>
      <c r="G15" t="s">
        <v>34</v>
      </c>
      <c r="H15" t="s">
        <v>35</v>
      </c>
      <c r="I15">
        <v>4</v>
      </c>
      <c r="J15" t="s">
        <v>36</v>
      </c>
      <c r="K15" s="1">
        <v>1399229</v>
      </c>
      <c r="L15" s="1">
        <v>1354229</v>
      </c>
      <c r="M15" s="1">
        <v>-45000</v>
      </c>
      <c r="N15" s="1">
        <v>1354229</v>
      </c>
      <c r="O15">
        <v>0</v>
      </c>
      <c r="P15" s="1">
        <v>1351025.64</v>
      </c>
      <c r="Q15" s="1">
        <v>3203.36</v>
      </c>
      <c r="R15" s="1">
        <v>1302025.6399999999</v>
      </c>
      <c r="S15" s="1">
        <v>49000</v>
      </c>
    </row>
    <row r="16" spans="1:19" x14ac:dyDescent="0.25">
      <c r="A16" s="3">
        <v>1001</v>
      </c>
      <c r="B16" s="4" t="s">
        <v>21</v>
      </c>
      <c r="C16" s="4" t="str">
        <f t="shared" si="0"/>
        <v>04</v>
      </c>
      <c r="D16" t="s">
        <v>28</v>
      </c>
      <c r="E16" s="3" t="str">
        <f t="shared" si="1"/>
        <v>040100000</v>
      </c>
      <c r="F16" t="s">
        <v>33</v>
      </c>
      <c r="G16" t="s">
        <v>34</v>
      </c>
      <c r="H16" t="s">
        <v>35</v>
      </c>
      <c r="I16">
        <v>6</v>
      </c>
      <c r="J16" t="s">
        <v>32</v>
      </c>
      <c r="K16" s="1">
        <v>986080</v>
      </c>
      <c r="L16" s="1">
        <v>956238.64</v>
      </c>
      <c r="M16" s="1">
        <v>-29841.360000000001</v>
      </c>
      <c r="N16" s="1">
        <v>929238.19</v>
      </c>
      <c r="O16" s="1">
        <v>27000.45</v>
      </c>
      <c r="P16" s="1">
        <v>929238.19</v>
      </c>
      <c r="Q16">
        <v>0</v>
      </c>
      <c r="R16" s="1">
        <v>833814.04</v>
      </c>
      <c r="S16" s="1">
        <v>95424.15</v>
      </c>
    </row>
    <row r="17" spans="1:19" x14ac:dyDescent="0.25">
      <c r="A17" s="3">
        <v>1001</v>
      </c>
      <c r="B17" s="4" t="s">
        <v>21</v>
      </c>
      <c r="C17" s="4" t="str">
        <f t="shared" si="0"/>
        <v>04</v>
      </c>
      <c r="D17" t="s">
        <v>28</v>
      </c>
      <c r="E17" s="3" t="str">
        <f t="shared" si="1"/>
        <v>040100000</v>
      </c>
      <c r="F17" t="s">
        <v>33</v>
      </c>
      <c r="G17" t="s">
        <v>37</v>
      </c>
      <c r="H17" t="s">
        <v>38</v>
      </c>
      <c r="I17">
        <v>1</v>
      </c>
      <c r="J17" t="s">
        <v>25</v>
      </c>
      <c r="K17" s="1">
        <v>3250954</v>
      </c>
      <c r="L17" s="1">
        <v>2876313.62</v>
      </c>
      <c r="M17" s="1">
        <v>-374640.38</v>
      </c>
      <c r="N17" s="1">
        <v>2876309.61</v>
      </c>
      <c r="O17">
        <v>4.01</v>
      </c>
      <c r="P17" s="1">
        <v>2876309.61</v>
      </c>
      <c r="Q17">
        <v>0</v>
      </c>
      <c r="R17" s="1">
        <v>2876309.61</v>
      </c>
      <c r="S17">
        <v>0</v>
      </c>
    </row>
    <row r="18" spans="1:19" x14ac:dyDescent="0.25">
      <c r="A18" s="3">
        <v>1001</v>
      </c>
      <c r="B18" s="4" t="s">
        <v>21</v>
      </c>
      <c r="C18" s="4" t="str">
        <f t="shared" si="0"/>
        <v>04</v>
      </c>
      <c r="D18" t="s">
        <v>28</v>
      </c>
      <c r="E18" s="3" t="str">
        <f t="shared" si="1"/>
        <v>040100000</v>
      </c>
      <c r="F18" t="s">
        <v>33</v>
      </c>
      <c r="G18" t="s">
        <v>37</v>
      </c>
      <c r="H18" t="s">
        <v>38</v>
      </c>
      <c r="I18">
        <v>2</v>
      </c>
      <c r="J18" t="s">
        <v>26</v>
      </c>
      <c r="K18" s="1">
        <v>22595922</v>
      </c>
      <c r="L18" s="1">
        <v>23519400.640000001</v>
      </c>
      <c r="M18" s="1">
        <v>923478.64</v>
      </c>
      <c r="N18" s="1">
        <v>21781108.039999999</v>
      </c>
      <c r="O18" s="1">
        <v>1738292.6</v>
      </c>
      <c r="P18" s="1">
        <v>21781108.030000001</v>
      </c>
      <c r="Q18">
        <v>0.01</v>
      </c>
      <c r="R18" s="1">
        <v>21763960.510000002</v>
      </c>
      <c r="S18" s="1">
        <v>17147.52</v>
      </c>
    </row>
    <row r="19" spans="1:19" x14ac:dyDescent="0.25">
      <c r="A19" s="3">
        <v>1001</v>
      </c>
      <c r="B19" s="4" t="s">
        <v>21</v>
      </c>
      <c r="C19" s="4" t="str">
        <f t="shared" si="0"/>
        <v>04</v>
      </c>
      <c r="D19" t="s">
        <v>28</v>
      </c>
      <c r="E19" s="3" t="str">
        <f t="shared" si="1"/>
        <v>040100000</v>
      </c>
      <c r="F19" t="s">
        <v>33</v>
      </c>
      <c r="G19" t="s">
        <v>37</v>
      </c>
      <c r="H19" t="s">
        <v>38</v>
      </c>
      <c r="I19">
        <v>3</v>
      </c>
      <c r="J19" t="s">
        <v>39</v>
      </c>
      <c r="K19">
        <v>0</v>
      </c>
      <c r="L19" s="1">
        <v>5000</v>
      </c>
      <c r="M19" s="1">
        <v>5000</v>
      </c>
      <c r="N19">
        <v>238.46</v>
      </c>
      <c r="O19" s="1">
        <v>4761.54</v>
      </c>
      <c r="P19">
        <v>238.46</v>
      </c>
      <c r="Q19">
        <v>0</v>
      </c>
      <c r="R19">
        <v>238.46</v>
      </c>
      <c r="S19">
        <v>0</v>
      </c>
    </row>
    <row r="20" spans="1:19" x14ac:dyDescent="0.25">
      <c r="A20" s="3">
        <v>1001</v>
      </c>
      <c r="B20" s="4" t="s">
        <v>21</v>
      </c>
      <c r="C20" s="4" t="str">
        <f t="shared" si="0"/>
        <v>04</v>
      </c>
      <c r="D20" t="s">
        <v>28</v>
      </c>
      <c r="E20" s="3" t="str">
        <f t="shared" si="1"/>
        <v>040100000</v>
      </c>
      <c r="F20" t="s">
        <v>33</v>
      </c>
      <c r="G20" t="s">
        <v>37</v>
      </c>
      <c r="H20" t="s">
        <v>38</v>
      </c>
      <c r="I20">
        <v>4</v>
      </c>
      <c r="J20" t="s">
        <v>36</v>
      </c>
      <c r="K20" s="1">
        <v>28053704</v>
      </c>
      <c r="L20" s="1">
        <v>29450545</v>
      </c>
      <c r="M20" s="1">
        <v>1396841</v>
      </c>
      <c r="N20" s="1">
        <v>29370739.27</v>
      </c>
      <c r="O20" s="1">
        <v>79805.73</v>
      </c>
      <c r="P20" s="1">
        <v>28898496.870000001</v>
      </c>
      <c r="Q20" s="1">
        <v>472242.4</v>
      </c>
      <c r="R20" s="1">
        <v>28116902.149999999</v>
      </c>
      <c r="S20" s="1">
        <v>781594.72</v>
      </c>
    </row>
    <row r="21" spans="1:19" x14ac:dyDescent="0.25">
      <c r="A21" s="3">
        <v>1001</v>
      </c>
      <c r="B21" s="4" t="s">
        <v>21</v>
      </c>
      <c r="C21" s="4" t="str">
        <f t="shared" si="0"/>
        <v>04</v>
      </c>
      <c r="D21" t="s">
        <v>28</v>
      </c>
      <c r="E21" s="3" t="str">
        <f t="shared" si="1"/>
        <v>040100000</v>
      </c>
      <c r="F21" t="s">
        <v>33</v>
      </c>
      <c r="G21" t="s">
        <v>37</v>
      </c>
      <c r="H21" t="s">
        <v>38</v>
      </c>
      <c r="I21">
        <v>6</v>
      </c>
      <c r="J21" t="s">
        <v>32</v>
      </c>
      <c r="K21" s="1">
        <v>600000</v>
      </c>
      <c r="L21" s="1">
        <v>339848.36</v>
      </c>
      <c r="M21" s="1">
        <v>-260151.64</v>
      </c>
      <c r="N21" s="1">
        <v>238753.02</v>
      </c>
      <c r="O21" s="1">
        <v>101095.34</v>
      </c>
      <c r="P21" s="1">
        <v>238753.02</v>
      </c>
      <c r="Q21">
        <v>0</v>
      </c>
      <c r="R21" s="1">
        <v>238753.02</v>
      </c>
      <c r="S21">
        <v>0</v>
      </c>
    </row>
    <row r="22" spans="1:19" x14ac:dyDescent="0.25">
      <c r="A22" s="3">
        <v>1001</v>
      </c>
      <c r="B22" s="4" t="s">
        <v>21</v>
      </c>
      <c r="C22" s="4" t="str">
        <f t="shared" si="0"/>
        <v>04</v>
      </c>
      <c r="D22" t="s">
        <v>28</v>
      </c>
      <c r="E22" s="3" t="str">
        <f t="shared" si="1"/>
        <v>040100000</v>
      </c>
      <c r="F22" t="s">
        <v>33</v>
      </c>
      <c r="G22" t="s">
        <v>37</v>
      </c>
      <c r="H22" t="s">
        <v>38</v>
      </c>
      <c r="I22">
        <v>7</v>
      </c>
      <c r="J22" t="s">
        <v>40</v>
      </c>
      <c r="K22" s="1">
        <v>7726747</v>
      </c>
      <c r="L22" s="1">
        <v>11716413.01</v>
      </c>
      <c r="M22" s="1">
        <v>3989666.01</v>
      </c>
      <c r="N22" s="1">
        <v>11377184.77</v>
      </c>
      <c r="O22" s="1">
        <v>339228.24</v>
      </c>
      <c r="P22" s="1">
        <v>11292604.98</v>
      </c>
      <c r="Q22" s="1">
        <v>84579.79</v>
      </c>
      <c r="R22" s="1">
        <v>3389366.58</v>
      </c>
      <c r="S22" s="1">
        <v>7903238.4000000004</v>
      </c>
    </row>
    <row r="23" spans="1:19" x14ac:dyDescent="0.25">
      <c r="A23" s="3">
        <v>1001</v>
      </c>
      <c r="B23" s="4" t="s">
        <v>21</v>
      </c>
      <c r="C23" s="4" t="str">
        <f t="shared" si="0"/>
        <v>04</v>
      </c>
      <c r="D23" t="s">
        <v>28</v>
      </c>
      <c r="E23" s="3" t="str">
        <f t="shared" si="1"/>
        <v>040100000</v>
      </c>
      <c r="F23" t="s">
        <v>33</v>
      </c>
      <c r="G23" t="s">
        <v>37</v>
      </c>
      <c r="H23" t="s">
        <v>38</v>
      </c>
      <c r="I23">
        <v>8</v>
      </c>
      <c r="J23" t="s">
        <v>27</v>
      </c>
      <c r="K23">
        <v>0</v>
      </c>
      <c r="L23" s="1">
        <v>30000</v>
      </c>
      <c r="M23" s="1">
        <v>30000</v>
      </c>
      <c r="N23">
        <v>0</v>
      </c>
      <c r="O23" s="1">
        <v>30000</v>
      </c>
      <c r="P23">
        <v>0</v>
      </c>
      <c r="Q23">
        <v>0</v>
      </c>
      <c r="R23">
        <v>0</v>
      </c>
      <c r="S23">
        <v>0</v>
      </c>
    </row>
    <row r="24" spans="1:19" x14ac:dyDescent="0.25">
      <c r="A24" s="3">
        <v>1001</v>
      </c>
      <c r="B24" s="4" t="s">
        <v>21</v>
      </c>
      <c r="C24" s="4" t="str">
        <f t="shared" si="0"/>
        <v>04</v>
      </c>
      <c r="D24" t="s">
        <v>28</v>
      </c>
      <c r="E24" s="3" t="str">
        <f t="shared" ref="E24:E37" si="2">"040110000"</f>
        <v>040110000</v>
      </c>
      <c r="F24" t="s">
        <v>41</v>
      </c>
      <c r="G24" t="s">
        <v>42</v>
      </c>
      <c r="H24" t="s">
        <v>43</v>
      </c>
      <c r="I24">
        <v>1</v>
      </c>
      <c r="J24" t="s">
        <v>25</v>
      </c>
      <c r="K24" s="1">
        <v>4154836</v>
      </c>
      <c r="L24" s="1">
        <v>3655017.57</v>
      </c>
      <c r="M24" s="1">
        <v>-499818.43</v>
      </c>
      <c r="N24" s="1">
        <v>3655013.05</v>
      </c>
      <c r="O24">
        <v>4.5199999999999996</v>
      </c>
      <c r="P24" s="1">
        <v>3655013.05</v>
      </c>
      <c r="Q24">
        <v>0</v>
      </c>
      <c r="R24" s="1">
        <v>3655013.05</v>
      </c>
      <c r="S24">
        <v>0</v>
      </c>
    </row>
    <row r="25" spans="1:19" x14ac:dyDescent="0.25">
      <c r="A25" s="3">
        <v>1001</v>
      </c>
      <c r="B25" s="4" t="s">
        <v>21</v>
      </c>
      <c r="C25" s="4" t="str">
        <f t="shared" si="0"/>
        <v>04</v>
      </c>
      <c r="D25" t="s">
        <v>28</v>
      </c>
      <c r="E25" s="3" t="str">
        <f t="shared" si="2"/>
        <v>040110000</v>
      </c>
      <c r="F25" t="s">
        <v>41</v>
      </c>
      <c r="G25" t="s">
        <v>42</v>
      </c>
      <c r="H25" t="s">
        <v>43</v>
      </c>
      <c r="I25">
        <v>2</v>
      </c>
      <c r="J25" t="s">
        <v>26</v>
      </c>
      <c r="K25" s="1">
        <v>1880924</v>
      </c>
      <c r="L25" s="1">
        <v>2142655.2999999998</v>
      </c>
      <c r="M25" s="1">
        <v>261731.3</v>
      </c>
      <c r="N25" s="1">
        <v>2012128.59</v>
      </c>
      <c r="O25" s="1">
        <v>130526.71</v>
      </c>
      <c r="P25" s="1">
        <v>2012128.59</v>
      </c>
      <c r="Q25">
        <v>0</v>
      </c>
      <c r="R25" s="1">
        <v>2004489.96</v>
      </c>
      <c r="S25" s="1">
        <v>7638.63</v>
      </c>
    </row>
    <row r="26" spans="1:19" x14ac:dyDescent="0.25">
      <c r="A26" s="3">
        <v>1001</v>
      </c>
      <c r="B26" s="4" t="s">
        <v>21</v>
      </c>
      <c r="C26" s="4" t="str">
        <f t="shared" si="0"/>
        <v>04</v>
      </c>
      <c r="D26" t="s">
        <v>28</v>
      </c>
      <c r="E26" s="3" t="str">
        <f t="shared" si="2"/>
        <v>040110000</v>
      </c>
      <c r="F26" t="s">
        <v>41</v>
      </c>
      <c r="G26" t="s">
        <v>42</v>
      </c>
      <c r="H26" t="s">
        <v>43</v>
      </c>
      <c r="I26">
        <v>6</v>
      </c>
      <c r="J26" t="s">
        <v>32</v>
      </c>
      <c r="K26" s="1">
        <v>791664</v>
      </c>
      <c r="L26" s="1">
        <v>452252.69</v>
      </c>
      <c r="M26" s="1">
        <v>-339411.31</v>
      </c>
      <c r="N26" s="1">
        <v>452249.39</v>
      </c>
      <c r="O26">
        <v>3.3</v>
      </c>
      <c r="P26" s="1">
        <v>452249.39</v>
      </c>
      <c r="Q26">
        <v>0</v>
      </c>
      <c r="R26" s="1">
        <v>452249.38</v>
      </c>
      <c r="S26">
        <v>0.01</v>
      </c>
    </row>
    <row r="27" spans="1:19" x14ac:dyDescent="0.25">
      <c r="A27" s="3">
        <v>1001</v>
      </c>
      <c r="B27" s="4" t="s">
        <v>21</v>
      </c>
      <c r="C27" s="4" t="str">
        <f t="shared" si="0"/>
        <v>04</v>
      </c>
      <c r="D27" t="s">
        <v>28</v>
      </c>
      <c r="E27" s="3" t="str">
        <f t="shared" si="2"/>
        <v>040110000</v>
      </c>
      <c r="F27" t="s">
        <v>41</v>
      </c>
      <c r="G27" t="s">
        <v>42</v>
      </c>
      <c r="H27" t="s">
        <v>43</v>
      </c>
      <c r="I27">
        <v>7</v>
      </c>
      <c r="J27" t="s">
        <v>40</v>
      </c>
      <c r="K27" s="1">
        <v>253831</v>
      </c>
      <c r="L27" s="1">
        <v>230829.01</v>
      </c>
      <c r="M27" s="1">
        <v>-23001.99</v>
      </c>
      <c r="N27" s="1">
        <v>214545.62</v>
      </c>
      <c r="O27" s="1">
        <v>16283.39</v>
      </c>
      <c r="P27" s="1">
        <v>214545.62</v>
      </c>
      <c r="Q27">
        <v>0</v>
      </c>
      <c r="R27" s="1">
        <v>214545.62</v>
      </c>
      <c r="S27">
        <v>0</v>
      </c>
    </row>
    <row r="28" spans="1:19" x14ac:dyDescent="0.25">
      <c r="A28" s="3">
        <v>1001</v>
      </c>
      <c r="B28" s="4" t="s">
        <v>21</v>
      </c>
      <c r="C28" s="4" t="str">
        <f t="shared" si="0"/>
        <v>04</v>
      </c>
      <c r="D28" t="s">
        <v>28</v>
      </c>
      <c r="E28" s="3" t="str">
        <f t="shared" si="2"/>
        <v>040110000</v>
      </c>
      <c r="F28" t="s">
        <v>41</v>
      </c>
      <c r="G28" t="s">
        <v>44</v>
      </c>
      <c r="H28" t="s">
        <v>45</v>
      </c>
      <c r="I28">
        <v>1</v>
      </c>
      <c r="J28" t="s">
        <v>25</v>
      </c>
      <c r="K28" s="1">
        <v>22830232</v>
      </c>
      <c r="L28" s="1">
        <v>19234426.289999999</v>
      </c>
      <c r="M28" s="1">
        <v>-3595805.71</v>
      </c>
      <c r="N28" s="1">
        <v>19234419.920000002</v>
      </c>
      <c r="O28">
        <v>6.37</v>
      </c>
      <c r="P28" s="1">
        <v>19234419.920000002</v>
      </c>
      <c r="Q28">
        <v>0</v>
      </c>
      <c r="R28" s="1">
        <v>19234419.920000002</v>
      </c>
      <c r="S28">
        <v>0</v>
      </c>
    </row>
    <row r="29" spans="1:19" x14ac:dyDescent="0.25">
      <c r="A29" s="3">
        <v>1001</v>
      </c>
      <c r="B29" s="4" t="s">
        <v>21</v>
      </c>
      <c r="C29" s="4" t="str">
        <f t="shared" si="0"/>
        <v>04</v>
      </c>
      <c r="D29" t="s">
        <v>28</v>
      </c>
      <c r="E29" s="3" t="str">
        <f t="shared" si="2"/>
        <v>040110000</v>
      </c>
      <c r="F29" t="s">
        <v>41</v>
      </c>
      <c r="G29" t="s">
        <v>44</v>
      </c>
      <c r="H29" t="s">
        <v>45</v>
      </c>
      <c r="I29">
        <v>2</v>
      </c>
      <c r="J29" t="s">
        <v>26</v>
      </c>
      <c r="K29" s="1">
        <v>9241478</v>
      </c>
      <c r="L29" s="1">
        <v>9547540</v>
      </c>
      <c r="M29" s="1">
        <v>306062</v>
      </c>
      <c r="N29" s="1">
        <v>8786356.8100000005</v>
      </c>
      <c r="O29" s="1">
        <v>761183.19</v>
      </c>
      <c r="P29" s="1">
        <v>8786356.8100000005</v>
      </c>
      <c r="Q29">
        <v>0</v>
      </c>
      <c r="R29" s="1">
        <v>8603250.0700000003</v>
      </c>
      <c r="S29" s="1">
        <v>183106.74</v>
      </c>
    </row>
    <row r="30" spans="1:19" x14ac:dyDescent="0.25">
      <c r="A30" s="3">
        <v>1001</v>
      </c>
      <c r="B30" s="4" t="s">
        <v>21</v>
      </c>
      <c r="C30" s="4" t="str">
        <f t="shared" si="0"/>
        <v>04</v>
      </c>
      <c r="D30" t="s">
        <v>28</v>
      </c>
      <c r="E30" s="3" t="str">
        <f t="shared" si="2"/>
        <v>040110000</v>
      </c>
      <c r="F30" t="s">
        <v>41</v>
      </c>
      <c r="G30" t="s">
        <v>44</v>
      </c>
      <c r="H30" t="s">
        <v>45</v>
      </c>
      <c r="I30">
        <v>4</v>
      </c>
      <c r="J30" t="s">
        <v>36</v>
      </c>
      <c r="K30" s="1">
        <v>868000</v>
      </c>
      <c r="L30" s="1">
        <v>791400</v>
      </c>
      <c r="M30" s="1">
        <v>-76600</v>
      </c>
      <c r="N30" s="1">
        <v>791400</v>
      </c>
      <c r="O30">
        <v>0</v>
      </c>
      <c r="P30" s="1">
        <v>789301.86</v>
      </c>
      <c r="Q30" s="1">
        <v>2098.14</v>
      </c>
      <c r="R30" s="1">
        <v>789301.86</v>
      </c>
      <c r="S30">
        <v>0</v>
      </c>
    </row>
    <row r="31" spans="1:19" x14ac:dyDescent="0.25">
      <c r="A31" s="3">
        <v>1001</v>
      </c>
      <c r="B31" s="4" t="s">
        <v>21</v>
      </c>
      <c r="C31" s="4" t="str">
        <f t="shared" si="0"/>
        <v>04</v>
      </c>
      <c r="D31" t="s">
        <v>28</v>
      </c>
      <c r="E31" s="3" t="str">
        <f t="shared" si="2"/>
        <v>040110000</v>
      </c>
      <c r="F31" t="s">
        <v>41</v>
      </c>
      <c r="G31" t="s">
        <v>44</v>
      </c>
      <c r="H31" t="s">
        <v>45</v>
      </c>
      <c r="I31">
        <v>6</v>
      </c>
      <c r="J31" t="s">
        <v>32</v>
      </c>
      <c r="K31" s="1">
        <v>5608109</v>
      </c>
      <c r="L31" s="1">
        <v>5369376</v>
      </c>
      <c r="M31" s="1">
        <v>-238733</v>
      </c>
      <c r="N31" s="1">
        <v>5287729.96</v>
      </c>
      <c r="O31" s="1">
        <v>81646.039999999994</v>
      </c>
      <c r="P31" s="1">
        <v>5287729.96</v>
      </c>
      <c r="Q31">
        <v>0</v>
      </c>
      <c r="R31" s="1">
        <v>5207733.4800000004</v>
      </c>
      <c r="S31" s="1">
        <v>79996.479999999996</v>
      </c>
    </row>
    <row r="32" spans="1:19" x14ac:dyDescent="0.25">
      <c r="A32" s="3">
        <v>1001</v>
      </c>
      <c r="B32" s="4" t="s">
        <v>21</v>
      </c>
      <c r="C32" s="4" t="str">
        <f t="shared" si="0"/>
        <v>04</v>
      </c>
      <c r="D32" t="s">
        <v>28</v>
      </c>
      <c r="E32" s="3" t="str">
        <f t="shared" si="2"/>
        <v>040110000</v>
      </c>
      <c r="F32" t="s">
        <v>41</v>
      </c>
      <c r="G32" t="s">
        <v>44</v>
      </c>
      <c r="H32" t="s">
        <v>45</v>
      </c>
      <c r="I32">
        <v>7</v>
      </c>
      <c r="J32" t="s">
        <v>40</v>
      </c>
      <c r="K32" s="1">
        <v>1090000</v>
      </c>
      <c r="L32" s="1">
        <v>930599.87</v>
      </c>
      <c r="M32" s="1">
        <v>-159400.13</v>
      </c>
      <c r="N32" s="1">
        <v>930599.26</v>
      </c>
      <c r="O32">
        <v>0.61</v>
      </c>
      <c r="P32" s="1">
        <v>807269.51</v>
      </c>
      <c r="Q32" s="1">
        <v>123329.75</v>
      </c>
      <c r="R32" s="1">
        <v>807269.51</v>
      </c>
      <c r="S32">
        <v>0</v>
      </c>
    </row>
    <row r="33" spans="1:19" x14ac:dyDescent="0.25">
      <c r="A33" s="3">
        <v>1001</v>
      </c>
      <c r="B33" s="4" t="s">
        <v>21</v>
      </c>
      <c r="C33" s="4" t="str">
        <f t="shared" si="0"/>
        <v>04</v>
      </c>
      <c r="D33" t="s">
        <v>28</v>
      </c>
      <c r="E33" s="3" t="str">
        <f t="shared" si="2"/>
        <v>040110000</v>
      </c>
      <c r="F33" t="s">
        <v>41</v>
      </c>
      <c r="G33" t="s">
        <v>46</v>
      </c>
      <c r="H33" t="s">
        <v>47</v>
      </c>
      <c r="I33">
        <v>1</v>
      </c>
      <c r="J33" t="s">
        <v>25</v>
      </c>
      <c r="K33" s="1">
        <v>5158754</v>
      </c>
      <c r="L33" s="1">
        <v>4412814.93</v>
      </c>
      <c r="M33" s="1">
        <v>-745939.07</v>
      </c>
      <c r="N33" s="1">
        <v>4411688.4000000004</v>
      </c>
      <c r="O33" s="1">
        <v>1126.53</v>
      </c>
      <c r="P33" s="1">
        <v>4411688.4000000004</v>
      </c>
      <c r="Q33">
        <v>0</v>
      </c>
      <c r="R33" s="1">
        <v>4411688.4000000004</v>
      </c>
      <c r="S33">
        <v>0</v>
      </c>
    </row>
    <row r="34" spans="1:19" x14ac:dyDescent="0.25">
      <c r="A34" s="3">
        <v>1001</v>
      </c>
      <c r="B34" s="4" t="s">
        <v>21</v>
      </c>
      <c r="C34" s="4" t="str">
        <f t="shared" si="0"/>
        <v>04</v>
      </c>
      <c r="D34" t="s">
        <v>28</v>
      </c>
      <c r="E34" s="3" t="str">
        <f t="shared" si="2"/>
        <v>040110000</v>
      </c>
      <c r="F34" t="s">
        <v>41</v>
      </c>
      <c r="G34" t="s">
        <v>46</v>
      </c>
      <c r="H34" t="s">
        <v>47</v>
      </c>
      <c r="I34">
        <v>2</v>
      </c>
      <c r="J34" t="s">
        <v>26</v>
      </c>
      <c r="K34" s="1">
        <v>1248413</v>
      </c>
      <c r="L34" s="1">
        <v>1247396</v>
      </c>
      <c r="M34" s="1">
        <v>-1017</v>
      </c>
      <c r="N34" s="1">
        <v>1207300.1299999999</v>
      </c>
      <c r="O34" s="1">
        <v>40095.870000000003</v>
      </c>
      <c r="P34" s="1">
        <v>1207300.1299999999</v>
      </c>
      <c r="Q34">
        <v>0</v>
      </c>
      <c r="R34" s="1">
        <v>1181477.79</v>
      </c>
      <c r="S34" s="1">
        <v>25822.34</v>
      </c>
    </row>
    <row r="35" spans="1:19" x14ac:dyDescent="0.25">
      <c r="A35" s="3">
        <v>1001</v>
      </c>
      <c r="B35" s="4" t="s">
        <v>21</v>
      </c>
      <c r="C35" s="4" t="str">
        <f t="shared" si="0"/>
        <v>04</v>
      </c>
      <c r="D35" t="s">
        <v>28</v>
      </c>
      <c r="E35" s="3" t="str">
        <f t="shared" si="2"/>
        <v>040110000</v>
      </c>
      <c r="F35" t="s">
        <v>41</v>
      </c>
      <c r="G35" t="s">
        <v>46</v>
      </c>
      <c r="H35" t="s">
        <v>47</v>
      </c>
      <c r="I35">
        <v>4</v>
      </c>
      <c r="J35" t="s">
        <v>36</v>
      </c>
      <c r="K35" s="1">
        <v>600000</v>
      </c>
      <c r="L35" s="1">
        <v>600000</v>
      </c>
      <c r="M35">
        <v>0</v>
      </c>
      <c r="N35" s="1">
        <v>600000</v>
      </c>
      <c r="O35">
        <v>0</v>
      </c>
      <c r="P35" s="1">
        <v>600000</v>
      </c>
      <c r="Q35">
        <v>0</v>
      </c>
      <c r="R35" s="1">
        <v>600000</v>
      </c>
      <c r="S35">
        <v>0</v>
      </c>
    </row>
    <row r="36" spans="1:19" x14ac:dyDescent="0.25">
      <c r="A36" s="3">
        <v>1001</v>
      </c>
      <c r="B36" s="4" t="s">
        <v>21</v>
      </c>
      <c r="C36" s="4" t="str">
        <f t="shared" si="0"/>
        <v>04</v>
      </c>
      <c r="D36" t="s">
        <v>28</v>
      </c>
      <c r="E36" s="3" t="str">
        <f t="shared" si="2"/>
        <v>040110000</v>
      </c>
      <c r="F36" t="s">
        <v>41</v>
      </c>
      <c r="G36" t="s">
        <v>46</v>
      </c>
      <c r="H36" t="s">
        <v>47</v>
      </c>
      <c r="I36">
        <v>6</v>
      </c>
      <c r="J36" t="s">
        <v>32</v>
      </c>
      <c r="K36" s="1">
        <v>4418460</v>
      </c>
      <c r="L36" s="1">
        <v>4727515</v>
      </c>
      <c r="M36" s="1">
        <v>309055</v>
      </c>
      <c r="N36" s="1">
        <v>4619936.6900000004</v>
      </c>
      <c r="O36" s="1">
        <v>107578.31</v>
      </c>
      <c r="P36" s="1">
        <v>4619936.6900000004</v>
      </c>
      <c r="Q36">
        <v>0</v>
      </c>
      <c r="R36" s="1">
        <v>4607021.2300000004</v>
      </c>
      <c r="S36" s="1">
        <v>12915.46</v>
      </c>
    </row>
    <row r="37" spans="1:19" x14ac:dyDescent="0.25">
      <c r="A37" s="3">
        <v>1001</v>
      </c>
      <c r="B37" s="4" t="s">
        <v>21</v>
      </c>
      <c r="C37" s="4" t="str">
        <f t="shared" si="0"/>
        <v>04</v>
      </c>
      <c r="D37" t="s">
        <v>28</v>
      </c>
      <c r="E37" s="3" t="str">
        <f t="shared" si="2"/>
        <v>040110000</v>
      </c>
      <c r="F37" t="s">
        <v>41</v>
      </c>
      <c r="G37" t="s">
        <v>46</v>
      </c>
      <c r="H37" t="s">
        <v>47</v>
      </c>
      <c r="I37">
        <v>7</v>
      </c>
      <c r="J37" t="s">
        <v>40</v>
      </c>
      <c r="K37" s="1">
        <v>3172269</v>
      </c>
      <c r="L37" s="1">
        <v>2563279</v>
      </c>
      <c r="M37" s="1">
        <v>-608990</v>
      </c>
      <c r="N37" s="1">
        <v>2533279</v>
      </c>
      <c r="O37" s="1">
        <v>30000</v>
      </c>
      <c r="P37" s="1">
        <v>2533279</v>
      </c>
      <c r="Q37">
        <v>0</v>
      </c>
      <c r="R37" s="1">
        <v>2533279</v>
      </c>
      <c r="S37">
        <v>0</v>
      </c>
    </row>
    <row r="38" spans="1:19" x14ac:dyDescent="0.25">
      <c r="A38" s="3">
        <v>1001</v>
      </c>
      <c r="B38" s="4" t="s">
        <v>21</v>
      </c>
      <c r="C38" s="4" t="str">
        <f t="shared" si="0"/>
        <v>04</v>
      </c>
      <c r="D38" t="s">
        <v>28</v>
      </c>
      <c r="E38" s="3" t="str">
        <f>"040120000"</f>
        <v>040120000</v>
      </c>
      <c r="F38" t="s">
        <v>48</v>
      </c>
      <c r="G38" t="s">
        <v>49</v>
      </c>
      <c r="H38" t="s">
        <v>50</v>
      </c>
      <c r="I38">
        <v>1</v>
      </c>
      <c r="J38" t="s">
        <v>25</v>
      </c>
      <c r="K38" s="1">
        <v>6500880</v>
      </c>
      <c r="L38" s="1">
        <v>6196523.1399999997</v>
      </c>
      <c r="M38" s="1">
        <v>-304356.86</v>
      </c>
      <c r="N38" s="1">
        <v>6191209</v>
      </c>
      <c r="O38" s="1">
        <v>5314.14</v>
      </c>
      <c r="P38" s="1">
        <v>6191209</v>
      </c>
      <c r="Q38">
        <v>0</v>
      </c>
      <c r="R38" s="1">
        <v>6191209</v>
      </c>
      <c r="S38">
        <v>0</v>
      </c>
    </row>
    <row r="39" spans="1:19" x14ac:dyDescent="0.25">
      <c r="A39" s="3">
        <v>1001</v>
      </c>
      <c r="B39" s="4" t="s">
        <v>21</v>
      </c>
      <c r="C39" s="4" t="str">
        <f t="shared" si="0"/>
        <v>04</v>
      </c>
      <c r="D39" t="s">
        <v>28</v>
      </c>
      <c r="E39" s="3" t="str">
        <f>"040120000"</f>
        <v>040120000</v>
      </c>
      <c r="F39" t="s">
        <v>48</v>
      </c>
      <c r="G39" t="s">
        <v>49</v>
      </c>
      <c r="H39" t="s">
        <v>50</v>
      </c>
      <c r="I39">
        <v>2</v>
      </c>
      <c r="J39" t="s">
        <v>26</v>
      </c>
      <c r="K39" s="1">
        <v>19040601</v>
      </c>
      <c r="L39" s="1">
        <v>18359196.370000001</v>
      </c>
      <c r="M39" s="1">
        <v>-681404.63</v>
      </c>
      <c r="N39" s="1">
        <v>17857591.52</v>
      </c>
      <c r="O39" s="1">
        <v>501604.85</v>
      </c>
      <c r="P39" s="1">
        <v>17857591.52</v>
      </c>
      <c r="Q39">
        <v>0</v>
      </c>
      <c r="R39" s="1">
        <v>17686311.210000001</v>
      </c>
      <c r="S39" s="1">
        <v>171280.31</v>
      </c>
    </row>
    <row r="40" spans="1:19" x14ac:dyDescent="0.25">
      <c r="A40" s="3">
        <v>1001</v>
      </c>
      <c r="B40" s="4" t="s">
        <v>21</v>
      </c>
      <c r="C40" s="4" t="str">
        <f t="shared" si="0"/>
        <v>04</v>
      </c>
      <c r="D40" t="s">
        <v>28</v>
      </c>
      <c r="E40" s="3" t="str">
        <f>"040120000"</f>
        <v>040120000</v>
      </c>
      <c r="F40" t="s">
        <v>48</v>
      </c>
      <c r="G40" t="s">
        <v>49</v>
      </c>
      <c r="H40" t="s">
        <v>50</v>
      </c>
      <c r="I40">
        <v>4</v>
      </c>
      <c r="J40" t="s">
        <v>36</v>
      </c>
      <c r="K40" s="1">
        <v>61090000</v>
      </c>
      <c r="L40" s="1">
        <v>13400000</v>
      </c>
      <c r="M40" s="1">
        <v>-47690000</v>
      </c>
      <c r="N40" s="1">
        <v>13386808.560000001</v>
      </c>
      <c r="O40" s="1">
        <v>13191.44</v>
      </c>
      <c r="P40" s="1">
        <v>13386808.560000001</v>
      </c>
      <c r="Q40">
        <v>0</v>
      </c>
      <c r="R40" s="1">
        <v>13386808.560000001</v>
      </c>
      <c r="S40">
        <v>0</v>
      </c>
    </row>
    <row r="41" spans="1:19" x14ac:dyDescent="0.25">
      <c r="A41" s="3">
        <v>1001</v>
      </c>
      <c r="B41" s="4" t="s">
        <v>21</v>
      </c>
      <c r="C41" s="4" t="str">
        <f t="shared" si="0"/>
        <v>04</v>
      </c>
      <c r="D41" t="s">
        <v>28</v>
      </c>
      <c r="E41" s="3" t="str">
        <f>"040120000"</f>
        <v>040120000</v>
      </c>
      <c r="F41" t="s">
        <v>48</v>
      </c>
      <c r="G41" t="s">
        <v>49</v>
      </c>
      <c r="H41" t="s">
        <v>50</v>
      </c>
      <c r="I41">
        <v>6</v>
      </c>
      <c r="J41" t="s">
        <v>32</v>
      </c>
      <c r="K41" s="1">
        <v>59000</v>
      </c>
      <c r="L41" s="1">
        <v>7760.28</v>
      </c>
      <c r="M41" s="1">
        <v>-51239.72</v>
      </c>
      <c r="N41" s="1">
        <v>1428.58</v>
      </c>
      <c r="O41" s="1">
        <v>6331.7</v>
      </c>
      <c r="P41" s="1">
        <v>1428.58</v>
      </c>
      <c r="Q41">
        <v>0</v>
      </c>
      <c r="R41" s="1">
        <v>1428.56</v>
      </c>
      <c r="S41">
        <v>0.02</v>
      </c>
    </row>
    <row r="42" spans="1:19" x14ac:dyDescent="0.25">
      <c r="A42" s="3">
        <v>1001</v>
      </c>
      <c r="B42" s="4" t="s">
        <v>21</v>
      </c>
      <c r="C42" s="4" t="str">
        <f t="shared" si="0"/>
        <v>04</v>
      </c>
      <c r="D42" t="s">
        <v>28</v>
      </c>
      <c r="E42" s="3" t="str">
        <f>"040120000"</f>
        <v>040120000</v>
      </c>
      <c r="F42" t="s">
        <v>48</v>
      </c>
      <c r="G42" t="s">
        <v>49</v>
      </c>
      <c r="H42" t="s">
        <v>50</v>
      </c>
      <c r="I42">
        <v>7</v>
      </c>
      <c r="J42" t="s">
        <v>40</v>
      </c>
      <c r="K42" s="1">
        <v>8854494</v>
      </c>
      <c r="L42" s="1">
        <v>56694494.240000002</v>
      </c>
      <c r="M42" s="1">
        <v>47840000.240000002</v>
      </c>
      <c r="N42" s="1">
        <v>56694494.240000002</v>
      </c>
      <c r="O42">
        <v>0</v>
      </c>
      <c r="P42" s="1">
        <v>50082010.369999997</v>
      </c>
      <c r="Q42" s="1">
        <v>6612483.8700000001</v>
      </c>
      <c r="R42" s="1">
        <v>47840000</v>
      </c>
      <c r="S42" s="1">
        <v>2242010.37</v>
      </c>
    </row>
    <row r="43" spans="1:19" x14ac:dyDescent="0.25">
      <c r="A43" s="3">
        <v>1001</v>
      </c>
      <c r="B43" s="4" t="s">
        <v>21</v>
      </c>
      <c r="C43" s="4" t="str">
        <f t="shared" si="0"/>
        <v>04</v>
      </c>
      <c r="D43" t="s">
        <v>28</v>
      </c>
      <c r="E43" s="3" t="str">
        <f>"040130000"</f>
        <v>040130000</v>
      </c>
      <c r="F43" t="s">
        <v>51</v>
      </c>
      <c r="G43" t="s">
        <v>34</v>
      </c>
      <c r="H43" t="s">
        <v>35</v>
      </c>
      <c r="I43">
        <v>1</v>
      </c>
      <c r="J43" t="s">
        <v>25</v>
      </c>
      <c r="K43" s="1">
        <v>1578279</v>
      </c>
      <c r="L43" s="1">
        <v>1317077.25</v>
      </c>
      <c r="M43" s="1">
        <v>-261201.75</v>
      </c>
      <c r="N43" s="1">
        <v>1317073.33</v>
      </c>
      <c r="O43">
        <v>3.92</v>
      </c>
      <c r="P43" s="1">
        <v>1317073.33</v>
      </c>
      <c r="Q43">
        <v>0</v>
      </c>
      <c r="R43" s="1">
        <v>1317073.33</v>
      </c>
      <c r="S43">
        <v>0</v>
      </c>
    </row>
    <row r="44" spans="1:19" x14ac:dyDescent="0.25">
      <c r="A44" s="3">
        <v>1001</v>
      </c>
      <c r="B44" s="4" t="s">
        <v>21</v>
      </c>
      <c r="C44" s="4" t="str">
        <f t="shared" si="0"/>
        <v>04</v>
      </c>
      <c r="D44" t="s">
        <v>28</v>
      </c>
      <c r="E44" s="3" t="str">
        <f>"040130000"</f>
        <v>040130000</v>
      </c>
      <c r="F44" t="s">
        <v>51</v>
      </c>
      <c r="G44" t="s">
        <v>34</v>
      </c>
      <c r="H44" t="s">
        <v>35</v>
      </c>
      <c r="I44">
        <v>2</v>
      </c>
      <c r="J44" t="s">
        <v>26</v>
      </c>
      <c r="K44" s="1">
        <v>1253260</v>
      </c>
      <c r="L44" s="1">
        <v>1309260</v>
      </c>
      <c r="M44" s="1">
        <v>56000</v>
      </c>
      <c r="N44" s="1">
        <v>1272091.49</v>
      </c>
      <c r="O44" s="1">
        <v>37168.51</v>
      </c>
      <c r="P44" s="1">
        <v>1272091.49</v>
      </c>
      <c r="Q44">
        <v>0</v>
      </c>
      <c r="R44" s="1">
        <v>1262183.49</v>
      </c>
      <c r="S44" s="1">
        <v>9908</v>
      </c>
    </row>
    <row r="45" spans="1:19" x14ac:dyDescent="0.25">
      <c r="A45" s="3">
        <v>1001</v>
      </c>
      <c r="B45" s="4" t="s">
        <v>21</v>
      </c>
      <c r="C45" s="4" t="str">
        <f t="shared" si="0"/>
        <v>04</v>
      </c>
      <c r="D45" t="s">
        <v>28</v>
      </c>
      <c r="E45" s="3" t="str">
        <f>"040130000"</f>
        <v>040130000</v>
      </c>
      <c r="F45" t="s">
        <v>51</v>
      </c>
      <c r="G45" t="s">
        <v>34</v>
      </c>
      <c r="H45" t="s">
        <v>35</v>
      </c>
      <c r="I45">
        <v>6</v>
      </c>
      <c r="J45" t="s">
        <v>32</v>
      </c>
      <c r="K45" s="1">
        <v>1768633</v>
      </c>
      <c r="L45" s="1">
        <v>282633.11</v>
      </c>
      <c r="M45" s="1">
        <v>-1485999.89</v>
      </c>
      <c r="N45" s="1">
        <v>240799.92</v>
      </c>
      <c r="O45" s="1">
        <v>41833.19</v>
      </c>
      <c r="P45" s="1">
        <v>240799.92</v>
      </c>
      <c r="Q45">
        <v>0</v>
      </c>
      <c r="R45" s="1">
        <v>233522</v>
      </c>
      <c r="S45" s="1">
        <v>7277.92</v>
      </c>
    </row>
    <row r="46" spans="1:19" x14ac:dyDescent="0.25">
      <c r="A46" s="3">
        <v>1001</v>
      </c>
      <c r="B46" s="4" t="s">
        <v>21</v>
      </c>
      <c r="C46" s="4" t="str">
        <f t="shared" si="0"/>
        <v>04</v>
      </c>
      <c r="D46" t="s">
        <v>28</v>
      </c>
      <c r="E46" s="3" t="str">
        <f>"040130000"</f>
        <v>040130000</v>
      </c>
      <c r="F46" t="s">
        <v>51</v>
      </c>
      <c r="G46" t="s">
        <v>34</v>
      </c>
      <c r="H46" t="s">
        <v>35</v>
      </c>
      <c r="I46">
        <v>7</v>
      </c>
      <c r="J46" t="s">
        <v>40</v>
      </c>
      <c r="K46" s="1">
        <v>126960</v>
      </c>
      <c r="L46" s="1">
        <v>126960</v>
      </c>
      <c r="M46">
        <v>0</v>
      </c>
      <c r="N46" s="1">
        <v>126960</v>
      </c>
      <c r="O46">
        <v>0</v>
      </c>
      <c r="P46" s="1">
        <v>126960</v>
      </c>
      <c r="Q46">
        <v>0</v>
      </c>
      <c r="R46" s="1">
        <v>126960</v>
      </c>
      <c r="S46">
        <v>0</v>
      </c>
    </row>
    <row r="47" spans="1:19" x14ac:dyDescent="0.25">
      <c r="A47" s="3">
        <v>1001</v>
      </c>
      <c r="B47" s="4" t="s">
        <v>21</v>
      </c>
      <c r="C47" s="4" t="str">
        <f t="shared" si="0"/>
        <v>04</v>
      </c>
      <c r="D47" t="s">
        <v>28</v>
      </c>
      <c r="E47" s="3" t="str">
        <f>"040140000"</f>
        <v>040140000</v>
      </c>
      <c r="F47" t="s">
        <v>52</v>
      </c>
      <c r="G47" t="s">
        <v>53</v>
      </c>
      <c r="H47" t="s">
        <v>54</v>
      </c>
      <c r="I47">
        <v>1</v>
      </c>
      <c r="J47" t="s">
        <v>25</v>
      </c>
      <c r="K47" s="1">
        <v>14247820</v>
      </c>
      <c r="L47" s="1">
        <v>11885899.35</v>
      </c>
      <c r="M47" s="1">
        <v>-2361920.65</v>
      </c>
      <c r="N47" s="1">
        <v>11883837.07</v>
      </c>
      <c r="O47" s="1">
        <v>2062.2800000000002</v>
      </c>
      <c r="P47" s="1">
        <v>11883837.07</v>
      </c>
      <c r="Q47">
        <v>0</v>
      </c>
      <c r="R47" s="1">
        <v>11883837.07</v>
      </c>
      <c r="S47">
        <v>0</v>
      </c>
    </row>
    <row r="48" spans="1:19" x14ac:dyDescent="0.25">
      <c r="A48" s="3">
        <v>1001</v>
      </c>
      <c r="B48" s="4" t="s">
        <v>21</v>
      </c>
      <c r="C48" s="4" t="str">
        <f t="shared" si="0"/>
        <v>04</v>
      </c>
      <c r="D48" t="s">
        <v>28</v>
      </c>
      <c r="E48" s="3" t="str">
        <f>"040140000"</f>
        <v>040140000</v>
      </c>
      <c r="F48" t="s">
        <v>52</v>
      </c>
      <c r="G48" t="s">
        <v>53</v>
      </c>
      <c r="H48" t="s">
        <v>54</v>
      </c>
      <c r="I48">
        <v>2</v>
      </c>
      <c r="J48" t="s">
        <v>26</v>
      </c>
      <c r="K48" s="1">
        <v>14905556</v>
      </c>
      <c r="L48" s="1">
        <v>14255765.939999999</v>
      </c>
      <c r="M48" s="1">
        <v>-649790.06000000006</v>
      </c>
      <c r="N48" s="1">
        <v>12795807.16</v>
      </c>
      <c r="O48" s="1">
        <v>1459958.78</v>
      </c>
      <c r="P48" s="1">
        <v>12795807.16</v>
      </c>
      <c r="Q48">
        <v>0</v>
      </c>
      <c r="R48" s="1">
        <v>11790187.5</v>
      </c>
      <c r="S48" s="1">
        <v>1005619.66</v>
      </c>
    </row>
    <row r="49" spans="1:19" x14ac:dyDescent="0.25">
      <c r="A49" s="3">
        <v>1001</v>
      </c>
      <c r="B49" s="4" t="s">
        <v>21</v>
      </c>
      <c r="C49" s="4" t="str">
        <f t="shared" si="0"/>
        <v>04</v>
      </c>
      <c r="D49" t="s">
        <v>28</v>
      </c>
      <c r="E49" s="3" t="str">
        <f>"040140000"</f>
        <v>040140000</v>
      </c>
      <c r="F49" t="s">
        <v>52</v>
      </c>
      <c r="G49" t="s">
        <v>53</v>
      </c>
      <c r="H49" t="s">
        <v>54</v>
      </c>
      <c r="I49">
        <v>4</v>
      </c>
      <c r="J49" t="s">
        <v>36</v>
      </c>
      <c r="K49" s="1">
        <v>10595483</v>
      </c>
      <c r="L49" s="1">
        <v>10845483</v>
      </c>
      <c r="M49" s="1">
        <v>250000</v>
      </c>
      <c r="N49" s="1">
        <v>10593011.109999999</v>
      </c>
      <c r="O49" s="1">
        <v>252471.89</v>
      </c>
      <c r="P49" s="1">
        <v>10590345.84</v>
      </c>
      <c r="Q49" s="1">
        <v>2665.27</v>
      </c>
      <c r="R49" s="1">
        <v>10590345.84</v>
      </c>
      <c r="S49">
        <v>0</v>
      </c>
    </row>
    <row r="50" spans="1:19" x14ac:dyDescent="0.25">
      <c r="A50" s="3">
        <v>1001</v>
      </c>
      <c r="B50" s="4" t="s">
        <v>21</v>
      </c>
      <c r="C50" s="4" t="str">
        <f t="shared" si="0"/>
        <v>04</v>
      </c>
      <c r="D50" t="s">
        <v>28</v>
      </c>
      <c r="E50" s="3" t="str">
        <f>"040140000"</f>
        <v>040140000</v>
      </c>
      <c r="F50" t="s">
        <v>52</v>
      </c>
      <c r="G50" t="s">
        <v>53</v>
      </c>
      <c r="H50" t="s">
        <v>54</v>
      </c>
      <c r="I50">
        <v>6</v>
      </c>
      <c r="J50" t="s">
        <v>32</v>
      </c>
      <c r="K50" s="1">
        <v>12215421</v>
      </c>
      <c r="L50" s="1">
        <v>12789011</v>
      </c>
      <c r="M50" s="1">
        <v>573590</v>
      </c>
      <c r="N50" s="1">
        <v>4588501.3499999996</v>
      </c>
      <c r="O50" s="1">
        <v>8200509.6500000004</v>
      </c>
      <c r="P50" s="1">
        <v>4588501.3499999996</v>
      </c>
      <c r="Q50">
        <v>0</v>
      </c>
      <c r="R50" s="1">
        <v>3677834.71</v>
      </c>
      <c r="S50" s="1">
        <v>910666.64</v>
      </c>
    </row>
    <row r="51" spans="1:19" x14ac:dyDescent="0.25">
      <c r="A51" s="3">
        <v>1001</v>
      </c>
      <c r="B51" s="4" t="s">
        <v>21</v>
      </c>
      <c r="C51" s="4" t="str">
        <f t="shared" si="0"/>
        <v>04</v>
      </c>
      <c r="D51" t="s">
        <v>28</v>
      </c>
      <c r="E51" s="3" t="str">
        <f>"040140000"</f>
        <v>040140000</v>
      </c>
      <c r="F51" t="s">
        <v>52</v>
      </c>
      <c r="G51" t="s">
        <v>53</v>
      </c>
      <c r="H51" t="s">
        <v>54</v>
      </c>
      <c r="I51">
        <v>7</v>
      </c>
      <c r="J51" t="s">
        <v>40</v>
      </c>
      <c r="K51" s="1">
        <v>2793978</v>
      </c>
      <c r="L51" s="1">
        <v>2778512.85</v>
      </c>
      <c r="M51" s="1">
        <v>-15465.15</v>
      </c>
      <c r="N51" s="1">
        <v>2766076.79</v>
      </c>
      <c r="O51" s="1">
        <v>12436.06</v>
      </c>
      <c r="P51" s="1">
        <v>2179589.73</v>
      </c>
      <c r="Q51" s="1">
        <v>586487.06000000006</v>
      </c>
      <c r="R51" s="1">
        <v>1360676.19</v>
      </c>
      <c r="S51" s="1">
        <v>818913.54</v>
      </c>
    </row>
    <row r="52" spans="1:19" x14ac:dyDescent="0.25">
      <c r="A52" s="3">
        <v>1001</v>
      </c>
      <c r="B52" s="4" t="s">
        <v>21</v>
      </c>
      <c r="C52" s="4" t="str">
        <f t="shared" ref="C52:C71" si="3">"07"</f>
        <v>07</v>
      </c>
      <c r="D52" t="s">
        <v>55</v>
      </c>
      <c r="E52" s="3" t="str">
        <f>"070010000"</f>
        <v>070010000</v>
      </c>
      <c r="F52" t="s">
        <v>56</v>
      </c>
      <c r="G52" t="s">
        <v>57</v>
      </c>
      <c r="H52" t="s">
        <v>58</v>
      </c>
      <c r="I52">
        <v>1</v>
      </c>
      <c r="J52" t="s">
        <v>25</v>
      </c>
      <c r="K52" s="1">
        <v>7327259</v>
      </c>
      <c r="L52" s="1">
        <v>6886901.9500000002</v>
      </c>
      <c r="M52" s="1">
        <v>-440357.05</v>
      </c>
      <c r="N52" s="1">
        <v>6886894.5199999996</v>
      </c>
      <c r="O52">
        <v>7.43</v>
      </c>
      <c r="P52" s="1">
        <v>6886894.5199999996</v>
      </c>
      <c r="Q52">
        <v>0</v>
      </c>
      <c r="R52" s="1">
        <v>6766277.7000000002</v>
      </c>
      <c r="S52" s="1">
        <v>120616.82</v>
      </c>
    </row>
    <row r="53" spans="1:19" x14ac:dyDescent="0.25">
      <c r="A53" s="3">
        <v>1001</v>
      </c>
      <c r="B53" s="4" t="s">
        <v>21</v>
      </c>
      <c r="C53" s="4" t="str">
        <f t="shared" si="3"/>
        <v>07</v>
      </c>
      <c r="D53" t="s">
        <v>55</v>
      </c>
      <c r="E53" s="3" t="str">
        <f>"070010000"</f>
        <v>070010000</v>
      </c>
      <c r="F53" t="s">
        <v>56</v>
      </c>
      <c r="G53" t="s">
        <v>57</v>
      </c>
      <c r="H53" t="s">
        <v>58</v>
      </c>
      <c r="I53">
        <v>2</v>
      </c>
      <c r="J53" t="s">
        <v>26</v>
      </c>
      <c r="K53" s="1">
        <v>3625451</v>
      </c>
      <c r="L53" s="1">
        <v>3711451</v>
      </c>
      <c r="M53" s="1">
        <v>86000</v>
      </c>
      <c r="N53" s="1">
        <v>3349198.23</v>
      </c>
      <c r="O53" s="1">
        <v>362252.77</v>
      </c>
      <c r="P53" s="1">
        <v>3349198.23</v>
      </c>
      <c r="Q53">
        <v>0</v>
      </c>
      <c r="R53" s="1">
        <v>3289480.35</v>
      </c>
      <c r="S53" s="1">
        <v>59717.88</v>
      </c>
    </row>
    <row r="54" spans="1:19" x14ac:dyDescent="0.25">
      <c r="A54" s="3">
        <v>1001</v>
      </c>
      <c r="B54" s="4" t="s">
        <v>21</v>
      </c>
      <c r="C54" s="4" t="str">
        <f t="shared" si="3"/>
        <v>07</v>
      </c>
      <c r="D54" t="s">
        <v>55</v>
      </c>
      <c r="E54" s="3" t="str">
        <f>"070010000"</f>
        <v>070010000</v>
      </c>
      <c r="F54" t="s">
        <v>56</v>
      </c>
      <c r="G54" t="s">
        <v>57</v>
      </c>
      <c r="H54" t="s">
        <v>58</v>
      </c>
      <c r="I54">
        <v>6</v>
      </c>
      <c r="J54" t="s">
        <v>32</v>
      </c>
      <c r="K54" s="1">
        <v>501000</v>
      </c>
      <c r="L54" s="1">
        <v>575000</v>
      </c>
      <c r="M54" s="1">
        <v>74000</v>
      </c>
      <c r="N54" s="1">
        <v>377913.59</v>
      </c>
      <c r="O54" s="1">
        <v>197086.41</v>
      </c>
      <c r="P54" s="1">
        <v>377913.59</v>
      </c>
      <c r="Q54">
        <v>0</v>
      </c>
      <c r="R54" s="1">
        <v>377913.59</v>
      </c>
      <c r="S54">
        <v>0</v>
      </c>
    </row>
    <row r="55" spans="1:19" x14ac:dyDescent="0.25">
      <c r="A55" s="3">
        <v>1001</v>
      </c>
      <c r="B55" s="4" t="s">
        <v>21</v>
      </c>
      <c r="C55" s="4" t="str">
        <f t="shared" si="3"/>
        <v>07</v>
      </c>
      <c r="D55" t="s">
        <v>55</v>
      </c>
      <c r="E55" s="3" t="str">
        <f>"070010000"</f>
        <v>070010000</v>
      </c>
      <c r="F55" t="s">
        <v>56</v>
      </c>
      <c r="G55" t="s">
        <v>57</v>
      </c>
      <c r="H55" t="s">
        <v>58</v>
      </c>
      <c r="I55">
        <v>8</v>
      </c>
      <c r="J55" t="s">
        <v>27</v>
      </c>
      <c r="K55" s="1">
        <v>239891355</v>
      </c>
      <c r="L55" s="1">
        <v>303055773.38</v>
      </c>
      <c r="M55" s="1">
        <v>63164418.380000003</v>
      </c>
      <c r="N55" s="1">
        <v>298835899.29000002</v>
      </c>
      <c r="O55" s="1">
        <v>4219874.09</v>
      </c>
      <c r="P55" s="1">
        <v>298835899.29000002</v>
      </c>
      <c r="Q55">
        <v>0</v>
      </c>
      <c r="R55" s="1">
        <v>298835899.29000002</v>
      </c>
      <c r="S55">
        <v>0</v>
      </c>
    </row>
    <row r="56" spans="1:19" x14ac:dyDescent="0.25">
      <c r="A56" s="3">
        <v>1001</v>
      </c>
      <c r="B56" s="4" t="s">
        <v>21</v>
      </c>
      <c r="C56" s="4" t="str">
        <f t="shared" si="3"/>
        <v>07</v>
      </c>
      <c r="D56" t="s">
        <v>55</v>
      </c>
      <c r="E56" s="3" t="str">
        <f>"070100000"</f>
        <v>070100000</v>
      </c>
      <c r="F56" t="s">
        <v>59</v>
      </c>
      <c r="G56" t="s">
        <v>60</v>
      </c>
      <c r="H56" t="s">
        <v>61</v>
      </c>
      <c r="I56">
        <v>1</v>
      </c>
      <c r="J56" t="s">
        <v>25</v>
      </c>
      <c r="K56" s="1">
        <v>3833580</v>
      </c>
      <c r="L56" s="1">
        <v>3130480.99</v>
      </c>
      <c r="M56" s="1">
        <v>-703099.01</v>
      </c>
      <c r="N56" s="1">
        <v>3130472.76</v>
      </c>
      <c r="O56">
        <v>8.23</v>
      </c>
      <c r="P56" s="1">
        <v>3130472.76</v>
      </c>
      <c r="Q56">
        <v>0</v>
      </c>
      <c r="R56" s="1">
        <v>3130472.76</v>
      </c>
      <c r="S56">
        <v>0</v>
      </c>
    </row>
    <row r="57" spans="1:19" x14ac:dyDescent="0.25">
      <c r="A57" s="3">
        <v>1001</v>
      </c>
      <c r="B57" s="4" t="s">
        <v>21</v>
      </c>
      <c r="C57" s="4" t="str">
        <f t="shared" si="3"/>
        <v>07</v>
      </c>
      <c r="D57" t="s">
        <v>55</v>
      </c>
      <c r="E57" s="3" t="str">
        <f>"070100000"</f>
        <v>070100000</v>
      </c>
      <c r="F57" t="s">
        <v>59</v>
      </c>
      <c r="G57" t="s">
        <v>60</v>
      </c>
      <c r="H57" t="s">
        <v>61</v>
      </c>
      <c r="I57">
        <v>2</v>
      </c>
      <c r="J57" t="s">
        <v>26</v>
      </c>
      <c r="K57" s="1">
        <v>4990226</v>
      </c>
      <c r="L57" s="1">
        <v>2192448.7000000002</v>
      </c>
      <c r="M57" s="1">
        <v>-2797777.3</v>
      </c>
      <c r="N57" s="1">
        <v>1593786.9</v>
      </c>
      <c r="O57" s="1">
        <v>598661.80000000005</v>
      </c>
      <c r="P57" s="1">
        <v>1593786.9</v>
      </c>
      <c r="Q57">
        <v>0</v>
      </c>
      <c r="R57" s="1">
        <v>1559981.43</v>
      </c>
      <c r="S57" s="1">
        <v>33805.47</v>
      </c>
    </row>
    <row r="58" spans="1:19" x14ac:dyDescent="0.25">
      <c r="A58" s="3">
        <v>1001</v>
      </c>
      <c r="B58" s="4" t="s">
        <v>21</v>
      </c>
      <c r="C58" s="4" t="str">
        <f t="shared" si="3"/>
        <v>07</v>
      </c>
      <c r="D58" t="s">
        <v>55</v>
      </c>
      <c r="E58" s="3" t="str">
        <f>"070100000"</f>
        <v>070100000</v>
      </c>
      <c r="F58" t="s">
        <v>59</v>
      </c>
      <c r="G58" t="s">
        <v>60</v>
      </c>
      <c r="H58" t="s">
        <v>61</v>
      </c>
      <c r="I58">
        <v>4</v>
      </c>
      <c r="J58" t="s">
        <v>36</v>
      </c>
      <c r="K58" s="1">
        <v>7425172</v>
      </c>
      <c r="L58" s="1">
        <v>6725835.7300000004</v>
      </c>
      <c r="M58" s="1">
        <v>-699336.27</v>
      </c>
      <c r="N58" s="1">
        <v>6725830.7300000004</v>
      </c>
      <c r="O58">
        <v>5</v>
      </c>
      <c r="P58" s="1">
        <v>6716557.8899999997</v>
      </c>
      <c r="Q58" s="1">
        <v>9272.84</v>
      </c>
      <c r="R58" s="1">
        <v>6543362.7699999996</v>
      </c>
      <c r="S58" s="1">
        <v>173195.12</v>
      </c>
    </row>
    <row r="59" spans="1:19" x14ac:dyDescent="0.25">
      <c r="A59" s="3">
        <v>1001</v>
      </c>
      <c r="B59" s="4" t="s">
        <v>21</v>
      </c>
      <c r="C59" s="4" t="str">
        <f t="shared" si="3"/>
        <v>07</v>
      </c>
      <c r="D59" t="s">
        <v>55</v>
      </c>
      <c r="E59" s="3" t="str">
        <f>"070100000"</f>
        <v>070100000</v>
      </c>
      <c r="F59" t="s">
        <v>59</v>
      </c>
      <c r="G59" t="s">
        <v>60</v>
      </c>
      <c r="H59" t="s">
        <v>61</v>
      </c>
      <c r="I59">
        <v>6</v>
      </c>
      <c r="J59" t="s">
        <v>32</v>
      </c>
      <c r="K59">
        <v>0</v>
      </c>
      <c r="L59" s="1">
        <v>950000</v>
      </c>
      <c r="M59" s="1">
        <v>950000</v>
      </c>
      <c r="N59" s="1">
        <v>950000</v>
      </c>
      <c r="O59">
        <v>0</v>
      </c>
      <c r="P59" s="1">
        <v>950000</v>
      </c>
      <c r="Q59">
        <v>0</v>
      </c>
      <c r="R59">
        <v>0</v>
      </c>
      <c r="S59" s="1">
        <v>950000</v>
      </c>
    </row>
    <row r="60" spans="1:19" x14ac:dyDescent="0.25">
      <c r="A60" s="3">
        <v>1001</v>
      </c>
      <c r="B60" s="4" t="s">
        <v>21</v>
      </c>
      <c r="C60" s="4" t="str">
        <f t="shared" si="3"/>
        <v>07</v>
      </c>
      <c r="D60" t="s">
        <v>55</v>
      </c>
      <c r="E60" s="3" t="str">
        <f>"070100000"</f>
        <v>070100000</v>
      </c>
      <c r="F60" t="s">
        <v>59</v>
      </c>
      <c r="G60" t="s">
        <v>60</v>
      </c>
      <c r="H60" t="s">
        <v>61</v>
      </c>
      <c r="I60">
        <v>7</v>
      </c>
      <c r="J60" t="s">
        <v>40</v>
      </c>
      <c r="K60" s="1">
        <v>6863092</v>
      </c>
      <c r="L60" s="1">
        <v>1594627.7</v>
      </c>
      <c r="M60" s="1">
        <v>-5268464.3</v>
      </c>
      <c r="N60" s="1">
        <v>1498857.7</v>
      </c>
      <c r="O60" s="1">
        <v>95770</v>
      </c>
      <c r="P60" s="1">
        <v>1167117.3500000001</v>
      </c>
      <c r="Q60" s="1">
        <v>331740.34999999998</v>
      </c>
      <c r="R60" s="1">
        <v>1006271.65</v>
      </c>
      <c r="S60" s="1">
        <v>160845.70000000001</v>
      </c>
    </row>
    <row r="61" spans="1:19" x14ac:dyDescent="0.25">
      <c r="A61" s="3">
        <v>1001</v>
      </c>
      <c r="B61" s="4" t="s">
        <v>21</v>
      </c>
      <c r="C61" s="4" t="str">
        <f t="shared" si="3"/>
        <v>07</v>
      </c>
      <c r="D61" t="s">
        <v>55</v>
      </c>
      <c r="E61" s="3" t="str">
        <f t="shared" ref="E61:E66" si="4">"070110000"</f>
        <v>070110000</v>
      </c>
      <c r="F61" t="s">
        <v>62</v>
      </c>
      <c r="G61" t="s">
        <v>63</v>
      </c>
      <c r="H61" t="s">
        <v>64</v>
      </c>
      <c r="I61">
        <v>1</v>
      </c>
      <c r="J61" t="s">
        <v>25</v>
      </c>
      <c r="K61" s="1">
        <v>4278443</v>
      </c>
      <c r="L61" s="1">
        <v>2850527.66</v>
      </c>
      <c r="M61" s="1">
        <v>-1427915.34</v>
      </c>
      <c r="N61" s="1">
        <v>2850522.44</v>
      </c>
      <c r="O61">
        <v>5.22</v>
      </c>
      <c r="P61" s="1">
        <v>2850522.44</v>
      </c>
      <c r="Q61">
        <v>0</v>
      </c>
      <c r="R61" s="1">
        <v>2850522.44</v>
      </c>
      <c r="S61">
        <v>0</v>
      </c>
    </row>
    <row r="62" spans="1:19" x14ac:dyDescent="0.25">
      <c r="A62" s="3">
        <v>1001</v>
      </c>
      <c r="B62" s="4" t="s">
        <v>21</v>
      </c>
      <c r="C62" s="4" t="str">
        <f t="shared" si="3"/>
        <v>07</v>
      </c>
      <c r="D62" t="s">
        <v>55</v>
      </c>
      <c r="E62" s="3" t="str">
        <f t="shared" si="4"/>
        <v>070110000</v>
      </c>
      <c r="F62" t="s">
        <v>62</v>
      </c>
      <c r="G62" t="s">
        <v>63</v>
      </c>
      <c r="H62" t="s">
        <v>64</v>
      </c>
      <c r="I62">
        <v>2</v>
      </c>
      <c r="J62" t="s">
        <v>26</v>
      </c>
      <c r="K62" s="1">
        <v>3603174</v>
      </c>
      <c r="L62" s="1">
        <v>3213889.81</v>
      </c>
      <c r="M62" s="1">
        <v>-389284.19</v>
      </c>
      <c r="N62" s="1">
        <v>2308197.9700000002</v>
      </c>
      <c r="O62" s="1">
        <v>905691.84</v>
      </c>
      <c r="P62" s="1">
        <v>2308197.9700000002</v>
      </c>
      <c r="Q62">
        <v>0</v>
      </c>
      <c r="R62" s="1">
        <v>1603508.51</v>
      </c>
      <c r="S62" s="1">
        <v>704689.46</v>
      </c>
    </row>
    <row r="63" spans="1:19" x14ac:dyDescent="0.25">
      <c r="A63" s="3">
        <v>1001</v>
      </c>
      <c r="B63" s="4" t="s">
        <v>21</v>
      </c>
      <c r="C63" s="4" t="str">
        <f t="shared" si="3"/>
        <v>07</v>
      </c>
      <c r="D63" t="s">
        <v>55</v>
      </c>
      <c r="E63" s="3" t="str">
        <f t="shared" si="4"/>
        <v>070110000</v>
      </c>
      <c r="F63" t="s">
        <v>62</v>
      </c>
      <c r="G63" t="s">
        <v>63</v>
      </c>
      <c r="H63" t="s">
        <v>64</v>
      </c>
      <c r="I63">
        <v>3</v>
      </c>
      <c r="J63" t="s">
        <v>39</v>
      </c>
      <c r="K63">
        <v>0</v>
      </c>
      <c r="L63" s="1">
        <v>7263.93</v>
      </c>
      <c r="M63" s="1">
        <v>7263.93</v>
      </c>
      <c r="N63" s="1">
        <v>7263.93</v>
      </c>
      <c r="O63">
        <v>0</v>
      </c>
      <c r="P63" s="1">
        <v>7263.93</v>
      </c>
      <c r="Q63">
        <v>0</v>
      </c>
      <c r="R63" s="1">
        <v>7263.93</v>
      </c>
      <c r="S63">
        <v>0</v>
      </c>
    </row>
    <row r="64" spans="1:19" x14ac:dyDescent="0.25">
      <c r="A64" s="3">
        <v>1001</v>
      </c>
      <c r="B64" s="4" t="s">
        <v>21</v>
      </c>
      <c r="C64" s="4" t="str">
        <f t="shared" si="3"/>
        <v>07</v>
      </c>
      <c r="D64" t="s">
        <v>55</v>
      </c>
      <c r="E64" s="3" t="str">
        <f t="shared" si="4"/>
        <v>070110000</v>
      </c>
      <c r="F64" t="s">
        <v>62</v>
      </c>
      <c r="G64" t="s">
        <v>63</v>
      </c>
      <c r="H64" t="s">
        <v>64</v>
      </c>
      <c r="I64">
        <v>4</v>
      </c>
      <c r="J64" t="s">
        <v>36</v>
      </c>
      <c r="K64" s="1">
        <v>32500000</v>
      </c>
      <c r="L64" s="1">
        <v>53428588.369999997</v>
      </c>
      <c r="M64" s="1">
        <v>20928588.370000001</v>
      </c>
      <c r="N64" s="1">
        <v>53428588.369999997</v>
      </c>
      <c r="O64">
        <v>0</v>
      </c>
      <c r="P64" s="1">
        <v>52989088.880000003</v>
      </c>
      <c r="Q64" s="1">
        <v>439499.49</v>
      </c>
      <c r="R64" s="1">
        <v>49363192.380000003</v>
      </c>
      <c r="S64" s="1">
        <v>3625896.5</v>
      </c>
    </row>
    <row r="65" spans="1:19" x14ac:dyDescent="0.25">
      <c r="A65" s="3">
        <v>1001</v>
      </c>
      <c r="B65" s="4" t="s">
        <v>21</v>
      </c>
      <c r="C65" s="4" t="str">
        <f t="shared" si="3"/>
        <v>07</v>
      </c>
      <c r="D65" t="s">
        <v>55</v>
      </c>
      <c r="E65" s="3" t="str">
        <f t="shared" si="4"/>
        <v>070110000</v>
      </c>
      <c r="F65" t="s">
        <v>62</v>
      </c>
      <c r="G65" t="s">
        <v>63</v>
      </c>
      <c r="H65" t="s">
        <v>64</v>
      </c>
      <c r="I65">
        <v>6</v>
      </c>
      <c r="J65" t="s">
        <v>32</v>
      </c>
      <c r="K65" s="1">
        <v>63477602</v>
      </c>
      <c r="L65" s="1">
        <v>51159265.490000002</v>
      </c>
      <c r="M65" s="1">
        <v>-12318336.51</v>
      </c>
      <c r="N65" s="1">
        <v>46789379.159999996</v>
      </c>
      <c r="O65" s="1">
        <v>4369886.33</v>
      </c>
      <c r="P65" s="1">
        <v>46149719.25</v>
      </c>
      <c r="Q65" s="1">
        <v>639659.91</v>
      </c>
      <c r="R65" s="1">
        <v>29247045.66</v>
      </c>
      <c r="S65" s="1">
        <v>16902673.59</v>
      </c>
    </row>
    <row r="66" spans="1:19" x14ac:dyDescent="0.25">
      <c r="A66" s="3">
        <v>1001</v>
      </c>
      <c r="B66" s="4" t="s">
        <v>21</v>
      </c>
      <c r="C66" s="4" t="str">
        <f t="shared" si="3"/>
        <v>07</v>
      </c>
      <c r="D66" t="s">
        <v>55</v>
      </c>
      <c r="E66" s="3" t="str">
        <f t="shared" si="4"/>
        <v>070110000</v>
      </c>
      <c r="F66" t="s">
        <v>62</v>
      </c>
      <c r="G66" t="s">
        <v>63</v>
      </c>
      <c r="H66" t="s">
        <v>64</v>
      </c>
      <c r="I66">
        <v>7</v>
      </c>
      <c r="J66" t="s">
        <v>40</v>
      </c>
      <c r="K66" s="1">
        <v>67428721</v>
      </c>
      <c r="L66" s="1">
        <v>69740344.180000007</v>
      </c>
      <c r="M66" s="1">
        <v>2311623.1800000002</v>
      </c>
      <c r="N66" s="1">
        <v>69677520.879999995</v>
      </c>
      <c r="O66" s="1">
        <v>62823.3</v>
      </c>
      <c r="P66" s="1">
        <v>68573224.849999994</v>
      </c>
      <c r="Q66" s="1">
        <v>1104296.03</v>
      </c>
      <c r="R66" s="1">
        <v>45232142.350000001</v>
      </c>
      <c r="S66" s="1">
        <v>23341082.5</v>
      </c>
    </row>
    <row r="67" spans="1:19" x14ac:dyDescent="0.25">
      <c r="A67" s="3">
        <v>1001</v>
      </c>
      <c r="B67" s="4" t="s">
        <v>21</v>
      </c>
      <c r="C67" s="4" t="str">
        <f t="shared" si="3"/>
        <v>07</v>
      </c>
      <c r="D67" t="s">
        <v>55</v>
      </c>
      <c r="E67" s="3" t="str">
        <f>"070120000"</f>
        <v>070120000</v>
      </c>
      <c r="F67" t="s">
        <v>65</v>
      </c>
      <c r="G67" t="s">
        <v>66</v>
      </c>
      <c r="H67" t="s">
        <v>67</v>
      </c>
      <c r="I67">
        <v>1</v>
      </c>
      <c r="J67" t="s">
        <v>25</v>
      </c>
      <c r="K67" s="1">
        <v>1414831</v>
      </c>
      <c r="L67" s="1">
        <v>1808415.48</v>
      </c>
      <c r="M67" s="1">
        <v>393584.48</v>
      </c>
      <c r="N67" s="1">
        <v>1808410.7</v>
      </c>
      <c r="O67">
        <v>4.78</v>
      </c>
      <c r="P67" s="1">
        <v>1808410.7</v>
      </c>
      <c r="Q67">
        <v>0</v>
      </c>
      <c r="R67" s="1">
        <v>1808410.53</v>
      </c>
      <c r="S67">
        <v>0.17</v>
      </c>
    </row>
    <row r="68" spans="1:19" x14ac:dyDescent="0.25">
      <c r="A68" s="3">
        <v>1001</v>
      </c>
      <c r="B68" s="4" t="s">
        <v>21</v>
      </c>
      <c r="C68" s="4" t="str">
        <f t="shared" si="3"/>
        <v>07</v>
      </c>
      <c r="D68" t="s">
        <v>55</v>
      </c>
      <c r="E68" s="3" t="str">
        <f>"070120000"</f>
        <v>070120000</v>
      </c>
      <c r="F68" t="s">
        <v>65</v>
      </c>
      <c r="G68" t="s">
        <v>66</v>
      </c>
      <c r="H68" t="s">
        <v>67</v>
      </c>
      <c r="I68">
        <v>2</v>
      </c>
      <c r="J68" t="s">
        <v>26</v>
      </c>
      <c r="K68" s="1">
        <v>5038055</v>
      </c>
      <c r="L68" s="1">
        <v>17287671.719999999</v>
      </c>
      <c r="M68" s="1">
        <v>12249616.720000001</v>
      </c>
      <c r="N68" s="1">
        <v>885515.12</v>
      </c>
      <c r="O68" s="1">
        <v>16402156.6</v>
      </c>
      <c r="P68" s="1">
        <v>885515.12</v>
      </c>
      <c r="Q68">
        <v>0</v>
      </c>
      <c r="R68" s="1">
        <v>871127.84</v>
      </c>
      <c r="S68" s="1">
        <v>14387.28</v>
      </c>
    </row>
    <row r="69" spans="1:19" x14ac:dyDescent="0.25">
      <c r="A69" s="3">
        <v>1001</v>
      </c>
      <c r="B69" s="4" t="s">
        <v>21</v>
      </c>
      <c r="C69" s="4" t="str">
        <f t="shared" si="3"/>
        <v>07</v>
      </c>
      <c r="D69" t="s">
        <v>55</v>
      </c>
      <c r="E69" s="3" t="str">
        <f>"070120000"</f>
        <v>070120000</v>
      </c>
      <c r="F69" t="s">
        <v>65</v>
      </c>
      <c r="G69" t="s">
        <v>66</v>
      </c>
      <c r="H69" t="s">
        <v>67</v>
      </c>
      <c r="I69">
        <v>4</v>
      </c>
      <c r="J69" t="s">
        <v>36</v>
      </c>
      <c r="K69" s="1">
        <v>19974303</v>
      </c>
      <c r="L69" s="1">
        <v>3351680</v>
      </c>
      <c r="M69" s="1">
        <v>-16622623</v>
      </c>
      <c r="N69" s="1">
        <v>3351680</v>
      </c>
      <c r="O69">
        <v>0</v>
      </c>
      <c r="P69" s="1">
        <v>800000</v>
      </c>
      <c r="Q69" s="1">
        <v>2551680</v>
      </c>
      <c r="R69" s="1">
        <v>800000</v>
      </c>
      <c r="S69">
        <v>0</v>
      </c>
    </row>
    <row r="70" spans="1:19" x14ac:dyDescent="0.25">
      <c r="A70" s="3">
        <v>1001</v>
      </c>
      <c r="B70" s="4" t="s">
        <v>21</v>
      </c>
      <c r="C70" s="4" t="str">
        <f t="shared" si="3"/>
        <v>07</v>
      </c>
      <c r="D70" t="s">
        <v>55</v>
      </c>
      <c r="E70" s="3" t="str">
        <f>"070120000"</f>
        <v>070120000</v>
      </c>
      <c r="F70" t="s">
        <v>65</v>
      </c>
      <c r="G70" t="s">
        <v>66</v>
      </c>
      <c r="H70" t="s">
        <v>67</v>
      </c>
      <c r="I70">
        <v>6</v>
      </c>
      <c r="J70" t="s">
        <v>32</v>
      </c>
      <c r="K70">
        <v>0</v>
      </c>
      <c r="L70" s="1">
        <v>13575954.890000001</v>
      </c>
      <c r="M70" s="1">
        <v>13575954.890000001</v>
      </c>
      <c r="N70" s="1">
        <v>604037.93000000005</v>
      </c>
      <c r="O70" s="1">
        <v>12971916.960000001</v>
      </c>
      <c r="P70" s="1">
        <v>604037.93000000005</v>
      </c>
      <c r="Q70">
        <v>0</v>
      </c>
      <c r="R70" s="1">
        <v>604037.93000000005</v>
      </c>
      <c r="S70">
        <v>0</v>
      </c>
    </row>
    <row r="71" spans="1:19" x14ac:dyDescent="0.25">
      <c r="A71" s="3">
        <v>1001</v>
      </c>
      <c r="B71" s="4" t="s">
        <v>21</v>
      </c>
      <c r="C71" s="4" t="str">
        <f t="shared" si="3"/>
        <v>07</v>
      </c>
      <c r="D71" t="s">
        <v>55</v>
      </c>
      <c r="E71" s="3" t="str">
        <f>"070120000"</f>
        <v>070120000</v>
      </c>
      <c r="F71" t="s">
        <v>65</v>
      </c>
      <c r="G71" t="s">
        <v>66</v>
      </c>
      <c r="H71" t="s">
        <v>67</v>
      </c>
      <c r="I71">
        <v>7</v>
      </c>
      <c r="J71" t="s">
        <v>40</v>
      </c>
      <c r="K71" s="1">
        <v>15585900</v>
      </c>
      <c r="L71" s="1">
        <v>15585900</v>
      </c>
      <c r="M71">
        <v>0</v>
      </c>
      <c r="N71">
        <v>0</v>
      </c>
      <c r="O71" s="1">
        <v>15585900</v>
      </c>
      <c r="P71">
        <v>0</v>
      </c>
      <c r="Q71">
        <v>0</v>
      </c>
      <c r="R71">
        <v>0</v>
      </c>
      <c r="S71">
        <v>0</v>
      </c>
    </row>
    <row r="72" spans="1:19" x14ac:dyDescent="0.25">
      <c r="A72" s="3">
        <v>1001</v>
      </c>
      <c r="B72" s="4" t="s">
        <v>21</v>
      </c>
      <c r="C72" s="4" t="str">
        <f t="shared" ref="C72:C115" si="5">"11"</f>
        <v>11</v>
      </c>
      <c r="D72" t="s">
        <v>68</v>
      </c>
      <c r="E72" s="3" t="str">
        <f>"110010000"</f>
        <v>110010000</v>
      </c>
      <c r="F72" t="s">
        <v>69</v>
      </c>
      <c r="G72" t="s">
        <v>70</v>
      </c>
      <c r="H72" t="s">
        <v>71</v>
      </c>
      <c r="I72">
        <v>1</v>
      </c>
      <c r="J72" t="s">
        <v>25</v>
      </c>
      <c r="K72" s="1">
        <v>24849920</v>
      </c>
      <c r="L72" s="1">
        <v>23650047.449999999</v>
      </c>
      <c r="M72" s="1">
        <v>-1199872.55</v>
      </c>
      <c r="N72" s="1">
        <v>23632041.420000002</v>
      </c>
      <c r="O72" s="1">
        <v>18006.03</v>
      </c>
      <c r="P72" s="1">
        <v>23632041.420000002</v>
      </c>
      <c r="Q72">
        <v>0</v>
      </c>
      <c r="R72" s="1">
        <v>23528249.300000001</v>
      </c>
      <c r="S72" s="1">
        <v>103792.12</v>
      </c>
    </row>
    <row r="73" spans="1:19" x14ac:dyDescent="0.25">
      <c r="A73" s="3">
        <v>1001</v>
      </c>
      <c r="B73" s="4" t="s">
        <v>21</v>
      </c>
      <c r="C73" s="4" t="str">
        <f t="shared" si="5"/>
        <v>11</v>
      </c>
      <c r="D73" t="s">
        <v>68</v>
      </c>
      <c r="E73" s="3" t="str">
        <f>"110010000"</f>
        <v>110010000</v>
      </c>
      <c r="F73" t="s">
        <v>69</v>
      </c>
      <c r="G73" t="s">
        <v>70</v>
      </c>
      <c r="H73" t="s">
        <v>71</v>
      </c>
      <c r="I73">
        <v>2</v>
      </c>
      <c r="J73" t="s">
        <v>26</v>
      </c>
      <c r="K73" s="1">
        <v>15182526</v>
      </c>
      <c r="L73" s="1">
        <v>15025557</v>
      </c>
      <c r="M73" s="1">
        <v>-156969</v>
      </c>
      <c r="N73" s="1">
        <v>13444401.609999999</v>
      </c>
      <c r="O73" s="1">
        <v>1581155.39</v>
      </c>
      <c r="P73" s="1">
        <v>13443839.869999999</v>
      </c>
      <c r="Q73">
        <v>561.74</v>
      </c>
      <c r="R73" s="1">
        <v>13189073.99</v>
      </c>
      <c r="S73" s="1">
        <v>254765.88</v>
      </c>
    </row>
    <row r="74" spans="1:19" x14ac:dyDescent="0.25">
      <c r="A74" s="3">
        <v>1001</v>
      </c>
      <c r="B74" s="4" t="s">
        <v>21</v>
      </c>
      <c r="C74" s="4" t="str">
        <f t="shared" si="5"/>
        <v>11</v>
      </c>
      <c r="D74" t="s">
        <v>68</v>
      </c>
      <c r="E74" s="3" t="str">
        <f>"110010000"</f>
        <v>110010000</v>
      </c>
      <c r="F74" t="s">
        <v>69</v>
      </c>
      <c r="G74" t="s">
        <v>70</v>
      </c>
      <c r="H74" t="s">
        <v>71</v>
      </c>
      <c r="I74">
        <v>4</v>
      </c>
      <c r="J74" t="s">
        <v>36</v>
      </c>
      <c r="K74" s="1">
        <v>4314908</v>
      </c>
      <c r="L74" s="1">
        <v>10300000</v>
      </c>
      <c r="M74" s="1">
        <v>5985092</v>
      </c>
      <c r="N74" s="1">
        <v>10300000</v>
      </c>
      <c r="O74">
        <v>0</v>
      </c>
      <c r="P74" s="1">
        <v>10296263.16</v>
      </c>
      <c r="Q74" s="1">
        <v>3736.84</v>
      </c>
      <c r="R74" s="1">
        <v>10296263.16</v>
      </c>
      <c r="S74">
        <v>0</v>
      </c>
    </row>
    <row r="75" spans="1:19" x14ac:dyDescent="0.25">
      <c r="A75" s="3">
        <v>1001</v>
      </c>
      <c r="B75" s="4" t="s">
        <v>21</v>
      </c>
      <c r="C75" s="4" t="str">
        <f t="shared" si="5"/>
        <v>11</v>
      </c>
      <c r="D75" t="s">
        <v>68</v>
      </c>
      <c r="E75" s="3" t="str">
        <f>"110010000"</f>
        <v>110010000</v>
      </c>
      <c r="F75" t="s">
        <v>69</v>
      </c>
      <c r="G75" t="s">
        <v>70</v>
      </c>
      <c r="H75" t="s">
        <v>71</v>
      </c>
      <c r="I75">
        <v>6</v>
      </c>
      <c r="J75" t="s">
        <v>32</v>
      </c>
      <c r="K75" s="1">
        <v>1990322</v>
      </c>
      <c r="L75" s="1">
        <v>1365322</v>
      </c>
      <c r="M75" s="1">
        <v>-625000</v>
      </c>
      <c r="N75" s="1">
        <v>861548.15</v>
      </c>
      <c r="O75" s="1">
        <v>503773.85</v>
      </c>
      <c r="P75" s="1">
        <v>861548.15</v>
      </c>
      <c r="Q75">
        <v>0</v>
      </c>
      <c r="R75" s="1">
        <v>861548.15</v>
      </c>
      <c r="S75">
        <v>0</v>
      </c>
    </row>
    <row r="76" spans="1:19" x14ac:dyDescent="0.25">
      <c r="A76" s="3">
        <v>1001</v>
      </c>
      <c r="B76" s="4" t="s">
        <v>21</v>
      </c>
      <c r="C76" s="4" t="str">
        <f t="shared" si="5"/>
        <v>11</v>
      </c>
      <c r="D76" t="s">
        <v>68</v>
      </c>
      <c r="E76" s="3" t="str">
        <f>"110010000"</f>
        <v>110010000</v>
      </c>
      <c r="F76" t="s">
        <v>69</v>
      </c>
      <c r="G76" t="s">
        <v>70</v>
      </c>
      <c r="H76" t="s">
        <v>71</v>
      </c>
      <c r="I76">
        <v>8</v>
      </c>
      <c r="J76" t="s">
        <v>27</v>
      </c>
      <c r="K76" s="1">
        <v>314000</v>
      </c>
      <c r="L76" s="1">
        <v>314000</v>
      </c>
      <c r="M76">
        <v>0</v>
      </c>
      <c r="N76" s="1">
        <v>314000</v>
      </c>
      <c r="O76">
        <v>0</v>
      </c>
      <c r="P76" s="1">
        <v>314000</v>
      </c>
      <c r="Q76">
        <v>0</v>
      </c>
      <c r="R76" s="1">
        <v>168820.54</v>
      </c>
      <c r="S76" s="1">
        <v>145179.46</v>
      </c>
    </row>
    <row r="77" spans="1:19" x14ac:dyDescent="0.25">
      <c r="A77" s="3">
        <v>1001</v>
      </c>
      <c r="B77" s="4" t="s">
        <v>21</v>
      </c>
      <c r="C77" s="4" t="str">
        <f t="shared" si="5"/>
        <v>11</v>
      </c>
      <c r="D77" t="s">
        <v>68</v>
      </c>
      <c r="E77" s="3" t="str">
        <f t="shared" ref="E77:E85" si="6">"110100000"</f>
        <v>110100000</v>
      </c>
      <c r="F77" t="s">
        <v>72</v>
      </c>
      <c r="G77" t="s">
        <v>73</v>
      </c>
      <c r="H77" t="s">
        <v>74</v>
      </c>
      <c r="I77">
        <v>1</v>
      </c>
      <c r="J77" t="s">
        <v>25</v>
      </c>
      <c r="K77" s="1">
        <v>1063059</v>
      </c>
      <c r="L77" s="1">
        <v>926038.34</v>
      </c>
      <c r="M77" s="1">
        <v>-137020.66</v>
      </c>
      <c r="N77" s="1">
        <v>926035.2</v>
      </c>
      <c r="O77">
        <v>3.14</v>
      </c>
      <c r="P77" s="1">
        <v>926035.2</v>
      </c>
      <c r="Q77">
        <v>0</v>
      </c>
      <c r="R77" s="1">
        <v>926035.2</v>
      </c>
      <c r="S77">
        <v>0</v>
      </c>
    </row>
    <row r="78" spans="1:19" x14ac:dyDescent="0.25">
      <c r="A78" s="3">
        <v>1001</v>
      </c>
      <c r="B78" s="4" t="s">
        <v>21</v>
      </c>
      <c r="C78" s="4" t="str">
        <f t="shared" si="5"/>
        <v>11</v>
      </c>
      <c r="D78" t="s">
        <v>68</v>
      </c>
      <c r="E78" s="3" t="str">
        <f t="shared" si="6"/>
        <v>110100000</v>
      </c>
      <c r="F78" t="s">
        <v>72</v>
      </c>
      <c r="G78" t="s">
        <v>73</v>
      </c>
      <c r="H78" t="s">
        <v>74</v>
      </c>
      <c r="I78">
        <v>2</v>
      </c>
      <c r="J78" t="s">
        <v>26</v>
      </c>
      <c r="K78" s="1">
        <v>40300</v>
      </c>
      <c r="L78" s="1">
        <v>40300</v>
      </c>
      <c r="M78">
        <v>0</v>
      </c>
      <c r="N78" s="1">
        <v>30131.75</v>
      </c>
      <c r="O78" s="1">
        <v>10168.25</v>
      </c>
      <c r="P78" s="1">
        <v>30131.75</v>
      </c>
      <c r="Q78">
        <v>0</v>
      </c>
      <c r="R78" s="1">
        <v>30131.75</v>
      </c>
      <c r="S78">
        <v>0</v>
      </c>
    </row>
    <row r="79" spans="1:19" x14ac:dyDescent="0.25">
      <c r="A79" s="3">
        <v>1001</v>
      </c>
      <c r="B79" s="4" t="s">
        <v>21</v>
      </c>
      <c r="C79" s="4" t="str">
        <f t="shared" si="5"/>
        <v>11</v>
      </c>
      <c r="D79" t="s">
        <v>68</v>
      </c>
      <c r="E79" s="3" t="str">
        <f t="shared" si="6"/>
        <v>110100000</v>
      </c>
      <c r="F79" t="s">
        <v>72</v>
      </c>
      <c r="G79" t="s">
        <v>75</v>
      </c>
      <c r="H79" t="s">
        <v>76</v>
      </c>
      <c r="I79">
        <v>1</v>
      </c>
      <c r="J79" t="s">
        <v>25</v>
      </c>
      <c r="K79" s="1">
        <v>4259306</v>
      </c>
      <c r="L79" s="1">
        <v>3647078.54</v>
      </c>
      <c r="M79" s="1">
        <v>-612227.46</v>
      </c>
      <c r="N79" s="1">
        <v>3647077.88</v>
      </c>
      <c r="O79">
        <v>0.66</v>
      </c>
      <c r="P79" s="1">
        <v>3647077.88</v>
      </c>
      <c r="Q79">
        <v>0</v>
      </c>
      <c r="R79" s="1">
        <v>3647077.88</v>
      </c>
      <c r="S79">
        <v>0</v>
      </c>
    </row>
    <row r="80" spans="1:19" x14ac:dyDescent="0.25">
      <c r="A80" s="3">
        <v>1001</v>
      </c>
      <c r="B80" s="4" t="s">
        <v>21</v>
      </c>
      <c r="C80" s="4" t="str">
        <f t="shared" si="5"/>
        <v>11</v>
      </c>
      <c r="D80" t="s">
        <v>68</v>
      </c>
      <c r="E80" s="3" t="str">
        <f t="shared" si="6"/>
        <v>110100000</v>
      </c>
      <c r="F80" t="s">
        <v>72</v>
      </c>
      <c r="G80" t="s">
        <v>75</v>
      </c>
      <c r="H80" t="s">
        <v>76</v>
      </c>
      <c r="I80">
        <v>2</v>
      </c>
      <c r="J80" t="s">
        <v>26</v>
      </c>
      <c r="K80" s="1">
        <v>18694403</v>
      </c>
      <c r="L80" s="1">
        <v>16679403</v>
      </c>
      <c r="M80" s="1">
        <v>-2015000</v>
      </c>
      <c r="N80" s="1">
        <v>16074418.75</v>
      </c>
      <c r="O80" s="1">
        <v>604984.25</v>
      </c>
      <c r="P80" s="1">
        <v>16072618.75</v>
      </c>
      <c r="Q80" s="1">
        <v>1800</v>
      </c>
      <c r="R80" s="1">
        <v>14950773.880000001</v>
      </c>
      <c r="S80" s="1">
        <v>1121844.8700000001</v>
      </c>
    </row>
    <row r="81" spans="1:19" x14ac:dyDescent="0.25">
      <c r="A81" s="3">
        <v>1001</v>
      </c>
      <c r="B81" s="4" t="s">
        <v>21</v>
      </c>
      <c r="C81" s="4" t="str">
        <f t="shared" si="5"/>
        <v>11</v>
      </c>
      <c r="D81" t="s">
        <v>68</v>
      </c>
      <c r="E81" s="3" t="str">
        <f t="shared" si="6"/>
        <v>110100000</v>
      </c>
      <c r="F81" t="s">
        <v>72</v>
      </c>
      <c r="G81" t="s">
        <v>75</v>
      </c>
      <c r="H81" t="s">
        <v>76</v>
      </c>
      <c r="I81">
        <v>4</v>
      </c>
      <c r="J81" t="s">
        <v>36</v>
      </c>
      <c r="K81" s="1">
        <v>68327895</v>
      </c>
      <c r="L81" s="1">
        <v>69470132</v>
      </c>
      <c r="M81" s="1">
        <v>1142237</v>
      </c>
      <c r="N81" s="1">
        <v>69331087.180000007</v>
      </c>
      <c r="O81" s="1">
        <v>139044.82</v>
      </c>
      <c r="P81" s="1">
        <v>69292687.180000007</v>
      </c>
      <c r="Q81" s="1">
        <v>38400</v>
      </c>
      <c r="R81" s="1">
        <v>69292687.180000007</v>
      </c>
      <c r="S81">
        <v>0</v>
      </c>
    </row>
    <row r="82" spans="1:19" x14ac:dyDescent="0.25">
      <c r="A82" s="3">
        <v>1001</v>
      </c>
      <c r="B82" s="4" t="s">
        <v>21</v>
      </c>
      <c r="C82" s="4" t="str">
        <f t="shared" si="5"/>
        <v>11</v>
      </c>
      <c r="D82" t="s">
        <v>68</v>
      </c>
      <c r="E82" s="3" t="str">
        <f t="shared" si="6"/>
        <v>110100000</v>
      </c>
      <c r="F82" t="s">
        <v>72</v>
      </c>
      <c r="G82" t="s">
        <v>75</v>
      </c>
      <c r="H82" t="s">
        <v>76</v>
      </c>
      <c r="I82">
        <v>6</v>
      </c>
      <c r="J82" t="s">
        <v>32</v>
      </c>
      <c r="K82" s="1">
        <v>3319902</v>
      </c>
      <c r="L82" s="1">
        <v>676747</v>
      </c>
      <c r="M82" s="1">
        <v>-2643155</v>
      </c>
      <c r="N82" s="1">
        <v>506455.28</v>
      </c>
      <c r="O82" s="1">
        <v>170291.72</v>
      </c>
      <c r="P82" s="1">
        <v>506455.28</v>
      </c>
      <c r="Q82">
        <v>0</v>
      </c>
      <c r="R82" s="1">
        <v>506455.28</v>
      </c>
      <c r="S82">
        <v>0</v>
      </c>
    </row>
    <row r="83" spans="1:19" x14ac:dyDescent="0.25">
      <c r="A83" s="3">
        <v>1001</v>
      </c>
      <c r="B83" s="4" t="s">
        <v>21</v>
      </c>
      <c r="C83" s="4" t="str">
        <f t="shared" si="5"/>
        <v>11</v>
      </c>
      <c r="D83" t="s">
        <v>68</v>
      </c>
      <c r="E83" s="3" t="str">
        <f t="shared" si="6"/>
        <v>110100000</v>
      </c>
      <c r="F83" t="s">
        <v>72</v>
      </c>
      <c r="G83" t="s">
        <v>75</v>
      </c>
      <c r="H83" t="s">
        <v>76</v>
      </c>
      <c r="I83">
        <v>7</v>
      </c>
      <c r="J83" t="s">
        <v>40</v>
      </c>
      <c r="K83">
        <v>0</v>
      </c>
      <c r="L83" s="1">
        <v>50889868.299999997</v>
      </c>
      <c r="M83" s="1">
        <v>50889868.299999997</v>
      </c>
      <c r="N83" s="1">
        <v>50889868.299999997</v>
      </c>
      <c r="O83">
        <v>0</v>
      </c>
      <c r="P83" s="1">
        <v>50874868.299999997</v>
      </c>
      <c r="Q83" s="1">
        <v>15000</v>
      </c>
      <c r="R83" s="1">
        <v>47470951.490000002</v>
      </c>
      <c r="S83" s="1">
        <v>3403916.81</v>
      </c>
    </row>
    <row r="84" spans="1:19" x14ac:dyDescent="0.25">
      <c r="A84" s="3">
        <v>1001</v>
      </c>
      <c r="B84" s="4" t="s">
        <v>21</v>
      </c>
      <c r="C84" s="4" t="str">
        <f t="shared" si="5"/>
        <v>11</v>
      </c>
      <c r="D84" t="s">
        <v>68</v>
      </c>
      <c r="E84" s="3" t="str">
        <f t="shared" si="6"/>
        <v>110100000</v>
      </c>
      <c r="F84" t="s">
        <v>72</v>
      </c>
      <c r="G84" t="s">
        <v>77</v>
      </c>
      <c r="H84" t="s">
        <v>78</v>
      </c>
      <c r="I84">
        <v>1</v>
      </c>
      <c r="J84" t="s">
        <v>25</v>
      </c>
      <c r="K84" s="1">
        <v>2416061</v>
      </c>
      <c r="L84" s="1">
        <v>1766636.68</v>
      </c>
      <c r="M84" s="1">
        <v>-649424.31999999995</v>
      </c>
      <c r="N84" s="1">
        <v>1766635.16</v>
      </c>
      <c r="O84">
        <v>1.52</v>
      </c>
      <c r="P84" s="1">
        <v>1766635.16</v>
      </c>
      <c r="Q84">
        <v>0</v>
      </c>
      <c r="R84" s="1">
        <v>1766635.16</v>
      </c>
      <c r="S84">
        <v>0</v>
      </c>
    </row>
    <row r="85" spans="1:19" x14ac:dyDescent="0.25">
      <c r="A85" s="3">
        <v>1001</v>
      </c>
      <c r="B85" s="4" t="s">
        <v>21</v>
      </c>
      <c r="C85" s="4" t="str">
        <f t="shared" si="5"/>
        <v>11</v>
      </c>
      <c r="D85" t="s">
        <v>68</v>
      </c>
      <c r="E85" s="3" t="str">
        <f t="shared" si="6"/>
        <v>110100000</v>
      </c>
      <c r="F85" t="s">
        <v>72</v>
      </c>
      <c r="G85" t="s">
        <v>77</v>
      </c>
      <c r="H85" t="s">
        <v>78</v>
      </c>
      <c r="I85">
        <v>2</v>
      </c>
      <c r="J85" t="s">
        <v>26</v>
      </c>
      <c r="K85" s="1">
        <v>373500</v>
      </c>
      <c r="L85" s="1">
        <v>373500</v>
      </c>
      <c r="M85">
        <v>0</v>
      </c>
      <c r="N85" s="1">
        <v>328890.94</v>
      </c>
      <c r="O85" s="1">
        <v>44609.06</v>
      </c>
      <c r="P85" s="1">
        <v>328890.94</v>
      </c>
      <c r="Q85">
        <v>0</v>
      </c>
      <c r="R85" s="1">
        <v>205626.02</v>
      </c>
      <c r="S85" s="1">
        <v>123264.92</v>
      </c>
    </row>
    <row r="86" spans="1:19" x14ac:dyDescent="0.25">
      <c r="A86" s="3">
        <v>1001</v>
      </c>
      <c r="B86" s="4" t="s">
        <v>21</v>
      </c>
      <c r="C86" s="4" t="str">
        <f t="shared" si="5"/>
        <v>11</v>
      </c>
      <c r="D86" t="s">
        <v>68</v>
      </c>
      <c r="E86" s="3" t="str">
        <f>"110110000"</f>
        <v>110110000</v>
      </c>
      <c r="F86" t="s">
        <v>79</v>
      </c>
      <c r="G86" t="s">
        <v>80</v>
      </c>
      <c r="H86" t="s">
        <v>81</v>
      </c>
      <c r="I86">
        <v>1</v>
      </c>
      <c r="J86" t="s">
        <v>25</v>
      </c>
      <c r="K86" s="1">
        <v>141081546</v>
      </c>
      <c r="L86" s="1">
        <v>154898731.78999999</v>
      </c>
      <c r="M86" s="1">
        <v>13817185.789999999</v>
      </c>
      <c r="N86" s="1">
        <v>154898730.87</v>
      </c>
      <c r="O86">
        <v>0.92</v>
      </c>
      <c r="P86" s="1">
        <v>154898730.87</v>
      </c>
      <c r="Q86">
        <v>0</v>
      </c>
      <c r="R86" s="1">
        <v>154898730.87</v>
      </c>
      <c r="S86">
        <v>0</v>
      </c>
    </row>
    <row r="87" spans="1:19" x14ac:dyDescent="0.25">
      <c r="A87" s="3">
        <v>1001</v>
      </c>
      <c r="B87" s="4" t="s">
        <v>21</v>
      </c>
      <c r="C87" s="4" t="str">
        <f t="shared" si="5"/>
        <v>11</v>
      </c>
      <c r="D87" t="s">
        <v>68</v>
      </c>
      <c r="E87" s="3" t="str">
        <f>"110110000"</f>
        <v>110110000</v>
      </c>
      <c r="F87" t="s">
        <v>79</v>
      </c>
      <c r="G87" t="s">
        <v>80</v>
      </c>
      <c r="H87" t="s">
        <v>81</v>
      </c>
      <c r="I87">
        <v>2</v>
      </c>
      <c r="J87" t="s">
        <v>26</v>
      </c>
      <c r="K87" s="1">
        <v>44761242</v>
      </c>
      <c r="L87" s="1">
        <v>52203260.57</v>
      </c>
      <c r="M87" s="1">
        <v>7442018.5700000003</v>
      </c>
      <c r="N87" s="1">
        <v>50346477.280000001</v>
      </c>
      <c r="O87" s="1">
        <v>1856783.29</v>
      </c>
      <c r="P87" s="1">
        <v>50346477.280000001</v>
      </c>
      <c r="Q87">
        <v>0</v>
      </c>
      <c r="R87" s="1">
        <v>49437597.399999999</v>
      </c>
      <c r="S87" s="1">
        <v>908879.88</v>
      </c>
    </row>
    <row r="88" spans="1:19" x14ac:dyDescent="0.25">
      <c r="A88" s="3">
        <v>1001</v>
      </c>
      <c r="B88" s="4" t="s">
        <v>21</v>
      </c>
      <c r="C88" s="4" t="str">
        <f t="shared" si="5"/>
        <v>11</v>
      </c>
      <c r="D88" t="s">
        <v>68</v>
      </c>
      <c r="E88" s="3" t="str">
        <f>"110110000"</f>
        <v>110110000</v>
      </c>
      <c r="F88" t="s">
        <v>79</v>
      </c>
      <c r="G88" t="s">
        <v>80</v>
      </c>
      <c r="H88" t="s">
        <v>81</v>
      </c>
      <c r="I88">
        <v>6</v>
      </c>
      <c r="J88" t="s">
        <v>32</v>
      </c>
      <c r="K88" s="1">
        <v>10683589</v>
      </c>
      <c r="L88" s="1">
        <v>11062946.199999999</v>
      </c>
      <c r="M88" s="1">
        <v>379357.2</v>
      </c>
      <c r="N88" s="1">
        <v>10903345.77</v>
      </c>
      <c r="O88" s="1">
        <v>159600.43</v>
      </c>
      <c r="P88" s="1">
        <v>10903345.77</v>
      </c>
      <c r="Q88">
        <v>0</v>
      </c>
      <c r="R88" s="1">
        <v>10114660.039999999</v>
      </c>
      <c r="S88" s="1">
        <v>788685.73</v>
      </c>
    </row>
    <row r="89" spans="1:19" x14ac:dyDescent="0.25">
      <c r="A89" s="3">
        <v>1001</v>
      </c>
      <c r="B89" s="4" t="s">
        <v>21</v>
      </c>
      <c r="C89" s="4" t="str">
        <f t="shared" si="5"/>
        <v>11</v>
      </c>
      <c r="D89" t="s">
        <v>68</v>
      </c>
      <c r="E89" s="3" t="str">
        <f>"110140000"</f>
        <v>110140000</v>
      </c>
      <c r="F89" t="s">
        <v>82</v>
      </c>
      <c r="G89" t="s">
        <v>83</v>
      </c>
      <c r="H89" t="s">
        <v>84</v>
      </c>
      <c r="I89">
        <v>1</v>
      </c>
      <c r="J89" t="s">
        <v>25</v>
      </c>
      <c r="K89" s="1">
        <v>8901461</v>
      </c>
      <c r="L89" s="1">
        <v>8243808.2699999996</v>
      </c>
      <c r="M89" s="1">
        <v>-657652.73</v>
      </c>
      <c r="N89" s="1">
        <v>8243807.3799999999</v>
      </c>
      <c r="O89">
        <v>0.89</v>
      </c>
      <c r="P89" s="1">
        <v>8243807.3799999999</v>
      </c>
      <c r="Q89">
        <v>0</v>
      </c>
      <c r="R89" s="1">
        <v>8238369.0499999998</v>
      </c>
      <c r="S89" s="1">
        <v>5438.33</v>
      </c>
    </row>
    <row r="90" spans="1:19" x14ac:dyDescent="0.25">
      <c r="A90" s="3">
        <v>1001</v>
      </c>
      <c r="B90" s="4" t="s">
        <v>21</v>
      </c>
      <c r="C90" s="4" t="str">
        <f t="shared" si="5"/>
        <v>11</v>
      </c>
      <c r="D90" t="s">
        <v>68</v>
      </c>
      <c r="E90" s="3" t="str">
        <f>"110140000"</f>
        <v>110140000</v>
      </c>
      <c r="F90" t="s">
        <v>82</v>
      </c>
      <c r="G90" t="s">
        <v>83</v>
      </c>
      <c r="H90" t="s">
        <v>84</v>
      </c>
      <c r="I90">
        <v>2</v>
      </c>
      <c r="J90" t="s">
        <v>26</v>
      </c>
      <c r="K90" s="1">
        <v>201388</v>
      </c>
      <c r="L90" s="1">
        <v>100130.91</v>
      </c>
      <c r="M90" s="1">
        <v>-101257.09</v>
      </c>
      <c r="N90" s="1">
        <v>42893.54</v>
      </c>
      <c r="O90" s="1">
        <v>57237.37</v>
      </c>
      <c r="P90" s="1">
        <v>32674.78</v>
      </c>
      <c r="Q90" s="1">
        <v>10218.76</v>
      </c>
      <c r="R90" s="1">
        <v>32443.919999999998</v>
      </c>
      <c r="S90">
        <v>230.86</v>
      </c>
    </row>
    <row r="91" spans="1:19" x14ac:dyDescent="0.25">
      <c r="A91" s="3">
        <v>1001</v>
      </c>
      <c r="B91" s="4" t="s">
        <v>21</v>
      </c>
      <c r="C91" s="4" t="str">
        <f t="shared" si="5"/>
        <v>11</v>
      </c>
      <c r="D91" t="s">
        <v>68</v>
      </c>
      <c r="E91" s="3" t="str">
        <f>"110140000"</f>
        <v>110140000</v>
      </c>
      <c r="F91" t="s">
        <v>82</v>
      </c>
      <c r="G91" t="s">
        <v>83</v>
      </c>
      <c r="H91" t="s">
        <v>84</v>
      </c>
      <c r="I91">
        <v>6</v>
      </c>
      <c r="J91" t="s">
        <v>32</v>
      </c>
      <c r="K91">
        <v>0</v>
      </c>
      <c r="L91">
        <v>700</v>
      </c>
      <c r="M91">
        <v>700</v>
      </c>
      <c r="N91">
        <v>634.08000000000004</v>
      </c>
      <c r="O91">
        <v>65.92</v>
      </c>
      <c r="P91">
        <v>634.08000000000004</v>
      </c>
      <c r="Q91">
        <v>0</v>
      </c>
      <c r="R91">
        <v>634.08000000000004</v>
      </c>
      <c r="S91">
        <v>0</v>
      </c>
    </row>
    <row r="92" spans="1:19" x14ac:dyDescent="0.25">
      <c r="A92" s="3">
        <v>1001</v>
      </c>
      <c r="B92" s="4" t="s">
        <v>21</v>
      </c>
      <c r="C92" s="4" t="str">
        <f t="shared" si="5"/>
        <v>11</v>
      </c>
      <c r="D92" t="s">
        <v>68</v>
      </c>
      <c r="E92" s="3" t="str">
        <f>"110150000"</f>
        <v>110150000</v>
      </c>
      <c r="F92" t="s">
        <v>85</v>
      </c>
      <c r="G92" t="s">
        <v>86</v>
      </c>
      <c r="H92" t="s">
        <v>87</v>
      </c>
      <c r="I92">
        <v>1</v>
      </c>
      <c r="J92" t="s">
        <v>25</v>
      </c>
      <c r="K92" s="1">
        <v>4245170</v>
      </c>
      <c r="L92" s="1">
        <v>3790052.65</v>
      </c>
      <c r="M92" s="1">
        <v>-455117.35</v>
      </c>
      <c r="N92" s="1">
        <v>3790050.94</v>
      </c>
      <c r="O92">
        <v>1.71</v>
      </c>
      <c r="P92" s="1">
        <v>3790050.94</v>
      </c>
      <c r="Q92">
        <v>0</v>
      </c>
      <c r="R92" s="1">
        <v>3790050.94</v>
      </c>
      <c r="S92">
        <v>0</v>
      </c>
    </row>
    <row r="93" spans="1:19" x14ac:dyDescent="0.25">
      <c r="A93" s="3">
        <v>1001</v>
      </c>
      <c r="B93" s="4" t="s">
        <v>21</v>
      </c>
      <c r="C93" s="4" t="str">
        <f t="shared" si="5"/>
        <v>11</v>
      </c>
      <c r="D93" t="s">
        <v>68</v>
      </c>
      <c r="E93" s="3" t="str">
        <f>"110150000"</f>
        <v>110150000</v>
      </c>
      <c r="F93" t="s">
        <v>85</v>
      </c>
      <c r="G93" t="s">
        <v>86</v>
      </c>
      <c r="H93" t="s">
        <v>87</v>
      </c>
      <c r="I93">
        <v>2</v>
      </c>
      <c r="J93" t="s">
        <v>26</v>
      </c>
      <c r="K93" s="1">
        <v>4117911</v>
      </c>
      <c r="L93" s="1">
        <v>6239871.6799999997</v>
      </c>
      <c r="M93" s="1">
        <v>2121960.6800000002</v>
      </c>
      <c r="N93" s="1">
        <v>6204691.2300000004</v>
      </c>
      <c r="O93" s="1">
        <v>35180.449999999997</v>
      </c>
      <c r="P93" s="1">
        <v>6204691.2300000004</v>
      </c>
      <c r="Q93">
        <v>0</v>
      </c>
      <c r="R93" s="1">
        <v>6044330.4100000001</v>
      </c>
      <c r="S93" s="1">
        <v>160360.82</v>
      </c>
    </row>
    <row r="94" spans="1:19" x14ac:dyDescent="0.25">
      <c r="A94" s="3">
        <v>1001</v>
      </c>
      <c r="B94" s="4" t="s">
        <v>21</v>
      </c>
      <c r="C94" s="4" t="str">
        <f t="shared" si="5"/>
        <v>11</v>
      </c>
      <c r="D94" t="s">
        <v>68</v>
      </c>
      <c r="E94" s="3" t="str">
        <f>"110150000"</f>
        <v>110150000</v>
      </c>
      <c r="F94" t="s">
        <v>85</v>
      </c>
      <c r="G94" t="s">
        <v>86</v>
      </c>
      <c r="H94" t="s">
        <v>87</v>
      </c>
      <c r="I94">
        <v>6</v>
      </c>
      <c r="J94" t="s">
        <v>32</v>
      </c>
      <c r="K94" s="1">
        <v>52547</v>
      </c>
      <c r="L94" s="1">
        <v>1298719.1599999999</v>
      </c>
      <c r="M94" s="1">
        <v>1246172.1599999999</v>
      </c>
      <c r="N94" s="1">
        <v>1298719.1599999999</v>
      </c>
      <c r="O94">
        <v>0</v>
      </c>
      <c r="P94" s="1">
        <v>1298719.1599999999</v>
      </c>
      <c r="Q94">
        <v>0</v>
      </c>
      <c r="R94" s="1">
        <v>1298595.2</v>
      </c>
      <c r="S94">
        <v>123.96</v>
      </c>
    </row>
    <row r="95" spans="1:19" x14ac:dyDescent="0.25">
      <c r="A95" s="3">
        <v>1001</v>
      </c>
      <c r="B95" s="4" t="s">
        <v>21</v>
      </c>
      <c r="C95" s="4" t="str">
        <f t="shared" si="5"/>
        <v>11</v>
      </c>
      <c r="D95" t="s">
        <v>68</v>
      </c>
      <c r="E95" s="3" t="str">
        <f>"110160000"</f>
        <v>110160000</v>
      </c>
      <c r="F95" t="s">
        <v>88</v>
      </c>
      <c r="G95" t="s">
        <v>89</v>
      </c>
      <c r="H95" t="s">
        <v>90</v>
      </c>
      <c r="I95">
        <v>1</v>
      </c>
      <c r="J95" t="s">
        <v>25</v>
      </c>
      <c r="K95" s="1">
        <v>4041980</v>
      </c>
      <c r="L95" s="1">
        <v>4216267.55</v>
      </c>
      <c r="M95" s="1">
        <v>174287.55</v>
      </c>
      <c r="N95" s="1">
        <v>4216262.9400000004</v>
      </c>
      <c r="O95">
        <v>4.6100000000000003</v>
      </c>
      <c r="P95" s="1">
        <v>4216262.9400000004</v>
      </c>
      <c r="Q95">
        <v>0</v>
      </c>
      <c r="R95" s="1">
        <v>4216262.9400000004</v>
      </c>
      <c r="S95">
        <v>0</v>
      </c>
    </row>
    <row r="96" spans="1:19" x14ac:dyDescent="0.25">
      <c r="A96" s="3">
        <v>1001</v>
      </c>
      <c r="B96" s="4" t="s">
        <v>21</v>
      </c>
      <c r="C96" s="4" t="str">
        <f t="shared" si="5"/>
        <v>11</v>
      </c>
      <c r="D96" t="s">
        <v>68</v>
      </c>
      <c r="E96" s="3" t="str">
        <f>"110160000"</f>
        <v>110160000</v>
      </c>
      <c r="F96" t="s">
        <v>88</v>
      </c>
      <c r="G96" t="s">
        <v>89</v>
      </c>
      <c r="H96" t="s">
        <v>90</v>
      </c>
      <c r="I96">
        <v>2</v>
      </c>
      <c r="J96" t="s">
        <v>26</v>
      </c>
      <c r="K96" s="1">
        <v>765119</v>
      </c>
      <c r="L96" s="1">
        <v>689548.98</v>
      </c>
      <c r="M96" s="1">
        <v>-75570.02</v>
      </c>
      <c r="N96" s="1">
        <v>650218.21</v>
      </c>
      <c r="O96" s="1">
        <v>39330.769999999997</v>
      </c>
      <c r="P96" s="1">
        <v>650218.21</v>
      </c>
      <c r="Q96">
        <v>0</v>
      </c>
      <c r="R96" s="1">
        <v>649621.51</v>
      </c>
      <c r="S96">
        <v>596.70000000000005</v>
      </c>
    </row>
    <row r="97" spans="1:19" x14ac:dyDescent="0.25">
      <c r="A97" s="3">
        <v>1001</v>
      </c>
      <c r="B97" s="4" t="s">
        <v>21</v>
      </c>
      <c r="C97" s="4" t="str">
        <f t="shared" si="5"/>
        <v>11</v>
      </c>
      <c r="D97" t="s">
        <v>68</v>
      </c>
      <c r="E97" s="3" t="str">
        <f>"110160000"</f>
        <v>110160000</v>
      </c>
      <c r="F97" t="s">
        <v>88</v>
      </c>
      <c r="G97" t="s">
        <v>89</v>
      </c>
      <c r="H97" t="s">
        <v>90</v>
      </c>
      <c r="I97">
        <v>6</v>
      </c>
      <c r="J97" t="s">
        <v>32</v>
      </c>
      <c r="K97" s="1">
        <v>20500</v>
      </c>
      <c r="L97" s="1">
        <v>17244.810000000001</v>
      </c>
      <c r="M97" s="1">
        <v>-3255.19</v>
      </c>
      <c r="N97" s="1">
        <v>17244.810000000001</v>
      </c>
      <c r="O97">
        <v>0</v>
      </c>
      <c r="P97" s="1">
        <v>17244.810000000001</v>
      </c>
      <c r="Q97">
        <v>0</v>
      </c>
      <c r="R97" s="1">
        <v>17244.810000000001</v>
      </c>
      <c r="S97">
        <v>0</v>
      </c>
    </row>
    <row r="98" spans="1:19" x14ac:dyDescent="0.25">
      <c r="A98" s="3">
        <v>1001</v>
      </c>
      <c r="B98" s="4" t="s">
        <v>21</v>
      </c>
      <c r="C98" s="4" t="str">
        <f t="shared" si="5"/>
        <v>11</v>
      </c>
      <c r="D98" t="s">
        <v>68</v>
      </c>
      <c r="E98" s="3" t="str">
        <f>"110180000"</f>
        <v>110180000</v>
      </c>
      <c r="F98" t="s">
        <v>91</v>
      </c>
      <c r="G98" t="s">
        <v>92</v>
      </c>
      <c r="H98" t="s">
        <v>93</v>
      </c>
      <c r="I98">
        <v>1</v>
      </c>
      <c r="J98" t="s">
        <v>25</v>
      </c>
      <c r="K98" s="1">
        <v>2324852</v>
      </c>
      <c r="L98" s="1">
        <v>2037459.32</v>
      </c>
      <c r="M98" s="1">
        <v>-287392.68</v>
      </c>
      <c r="N98" s="1">
        <v>2037452.54</v>
      </c>
      <c r="O98">
        <v>6.78</v>
      </c>
      <c r="P98" s="1">
        <v>2037452.54</v>
      </c>
      <c r="Q98">
        <v>0</v>
      </c>
      <c r="R98" s="1">
        <v>2037452.54</v>
      </c>
      <c r="S98">
        <v>0</v>
      </c>
    </row>
    <row r="99" spans="1:19" x14ac:dyDescent="0.25">
      <c r="A99" s="3">
        <v>1001</v>
      </c>
      <c r="B99" s="4" t="s">
        <v>21</v>
      </c>
      <c r="C99" s="4" t="str">
        <f t="shared" si="5"/>
        <v>11</v>
      </c>
      <c r="D99" t="s">
        <v>68</v>
      </c>
      <c r="E99" s="3" t="str">
        <f>"110180000"</f>
        <v>110180000</v>
      </c>
      <c r="F99" t="s">
        <v>91</v>
      </c>
      <c r="G99" t="s">
        <v>92</v>
      </c>
      <c r="H99" t="s">
        <v>93</v>
      </c>
      <c r="I99">
        <v>2</v>
      </c>
      <c r="J99" t="s">
        <v>26</v>
      </c>
      <c r="K99" s="1">
        <v>849870</v>
      </c>
      <c r="L99" s="1">
        <v>1013774.6</v>
      </c>
      <c r="M99" s="1">
        <v>163904.6</v>
      </c>
      <c r="N99" s="1">
        <v>841143.52</v>
      </c>
      <c r="O99" s="1">
        <v>172631.08</v>
      </c>
      <c r="P99" s="1">
        <v>841143.52</v>
      </c>
      <c r="Q99">
        <v>0</v>
      </c>
      <c r="R99" s="1">
        <v>817927.68000000005</v>
      </c>
      <c r="S99" s="1">
        <v>23215.84</v>
      </c>
    </row>
    <row r="100" spans="1:19" x14ac:dyDescent="0.25">
      <c r="A100" s="3">
        <v>1001</v>
      </c>
      <c r="B100" s="4" t="s">
        <v>21</v>
      </c>
      <c r="C100" s="4" t="str">
        <f t="shared" si="5"/>
        <v>11</v>
      </c>
      <c r="D100" t="s">
        <v>68</v>
      </c>
      <c r="E100" s="3" t="str">
        <f>"110180000"</f>
        <v>110180000</v>
      </c>
      <c r="F100" t="s">
        <v>91</v>
      </c>
      <c r="G100" t="s">
        <v>92</v>
      </c>
      <c r="H100" t="s">
        <v>93</v>
      </c>
      <c r="I100">
        <v>4</v>
      </c>
      <c r="J100" t="s">
        <v>36</v>
      </c>
      <c r="K100" s="1">
        <v>238000</v>
      </c>
      <c r="L100" s="1">
        <v>82000</v>
      </c>
      <c r="M100" s="1">
        <v>-156000</v>
      </c>
      <c r="N100" s="1">
        <v>80305.240000000005</v>
      </c>
      <c r="O100" s="1">
        <v>1694.76</v>
      </c>
      <c r="P100" s="1">
        <v>78225.240000000005</v>
      </c>
      <c r="Q100" s="1">
        <v>2080</v>
      </c>
      <c r="R100" s="1">
        <v>74098.66</v>
      </c>
      <c r="S100" s="1">
        <v>4126.58</v>
      </c>
    </row>
    <row r="101" spans="1:19" x14ac:dyDescent="0.25">
      <c r="A101" s="3">
        <v>1001</v>
      </c>
      <c r="B101" s="4" t="s">
        <v>21</v>
      </c>
      <c r="C101" s="4" t="str">
        <f t="shared" si="5"/>
        <v>11</v>
      </c>
      <c r="D101" t="s">
        <v>68</v>
      </c>
      <c r="E101" s="3" t="str">
        <f>"110180000"</f>
        <v>110180000</v>
      </c>
      <c r="F101" t="s">
        <v>91</v>
      </c>
      <c r="G101" t="s">
        <v>92</v>
      </c>
      <c r="H101" t="s">
        <v>93</v>
      </c>
      <c r="I101">
        <v>6</v>
      </c>
      <c r="J101" t="s">
        <v>32</v>
      </c>
      <c r="K101" s="1">
        <v>8000</v>
      </c>
      <c r="L101" s="1">
        <v>4500</v>
      </c>
      <c r="M101" s="1">
        <v>-3500</v>
      </c>
      <c r="N101" s="1">
        <v>3715.59</v>
      </c>
      <c r="O101">
        <v>784.41</v>
      </c>
      <c r="P101" s="1">
        <v>3715.59</v>
      </c>
      <c r="Q101">
        <v>0</v>
      </c>
      <c r="R101" s="1">
        <v>3715.59</v>
      </c>
      <c r="S101">
        <v>0</v>
      </c>
    </row>
    <row r="102" spans="1:19" x14ac:dyDescent="0.25">
      <c r="A102" s="3">
        <v>1001</v>
      </c>
      <c r="B102" s="4" t="s">
        <v>21</v>
      </c>
      <c r="C102" s="4" t="str">
        <f t="shared" si="5"/>
        <v>11</v>
      </c>
      <c r="D102" t="s">
        <v>68</v>
      </c>
      <c r="E102" s="3" t="str">
        <f>"110190000"</f>
        <v>110190000</v>
      </c>
      <c r="F102" t="s">
        <v>94</v>
      </c>
      <c r="G102" t="s">
        <v>95</v>
      </c>
      <c r="H102" t="s">
        <v>96</v>
      </c>
      <c r="I102">
        <v>1</v>
      </c>
      <c r="J102" t="s">
        <v>25</v>
      </c>
      <c r="K102" s="1">
        <v>407684</v>
      </c>
      <c r="L102" s="1">
        <v>385562.4</v>
      </c>
      <c r="M102" s="1">
        <v>-22121.599999999999</v>
      </c>
      <c r="N102" s="1">
        <v>385557.93</v>
      </c>
      <c r="O102">
        <v>4.47</v>
      </c>
      <c r="P102" s="1">
        <v>385557.93</v>
      </c>
      <c r="Q102">
        <v>0</v>
      </c>
      <c r="R102" s="1">
        <v>385557.93</v>
      </c>
      <c r="S102">
        <v>0</v>
      </c>
    </row>
    <row r="103" spans="1:19" x14ac:dyDescent="0.25">
      <c r="A103" s="3">
        <v>1001</v>
      </c>
      <c r="B103" s="4" t="s">
        <v>21</v>
      </c>
      <c r="C103" s="4" t="str">
        <f t="shared" si="5"/>
        <v>11</v>
      </c>
      <c r="D103" t="s">
        <v>68</v>
      </c>
      <c r="E103" s="3" t="str">
        <f>"110190000"</f>
        <v>110190000</v>
      </c>
      <c r="F103" t="s">
        <v>94</v>
      </c>
      <c r="G103" t="s">
        <v>95</v>
      </c>
      <c r="H103" t="s">
        <v>96</v>
      </c>
      <c r="I103">
        <v>2</v>
      </c>
      <c r="J103" t="s">
        <v>26</v>
      </c>
      <c r="K103" s="1">
        <v>963346</v>
      </c>
      <c r="L103" s="1">
        <v>2068758</v>
      </c>
      <c r="M103" s="1">
        <v>1105412</v>
      </c>
      <c r="N103" s="1">
        <v>2029747.45</v>
      </c>
      <c r="O103" s="1">
        <v>39010.550000000003</v>
      </c>
      <c r="P103" s="1">
        <v>2029747.45</v>
      </c>
      <c r="Q103">
        <v>0</v>
      </c>
      <c r="R103" s="1">
        <v>2029105.93</v>
      </c>
      <c r="S103">
        <v>641.52</v>
      </c>
    </row>
    <row r="104" spans="1:19" x14ac:dyDescent="0.25">
      <c r="A104" s="3">
        <v>1001</v>
      </c>
      <c r="B104" s="4" t="s">
        <v>21</v>
      </c>
      <c r="C104" s="4" t="str">
        <f t="shared" si="5"/>
        <v>11</v>
      </c>
      <c r="D104" t="s">
        <v>68</v>
      </c>
      <c r="E104" s="3" t="str">
        <f>"110190000"</f>
        <v>110190000</v>
      </c>
      <c r="F104" t="s">
        <v>94</v>
      </c>
      <c r="G104" t="s">
        <v>95</v>
      </c>
      <c r="H104" t="s">
        <v>96</v>
      </c>
      <c r="I104">
        <v>4</v>
      </c>
      <c r="J104" t="s">
        <v>36</v>
      </c>
      <c r="K104" s="1">
        <v>138300</v>
      </c>
      <c r="L104" s="1">
        <v>138300</v>
      </c>
      <c r="M104">
        <v>0</v>
      </c>
      <c r="N104" s="1">
        <v>107033.06</v>
      </c>
      <c r="O104" s="1">
        <v>31266.94</v>
      </c>
      <c r="P104" s="1">
        <v>107033.06</v>
      </c>
      <c r="Q104">
        <v>0</v>
      </c>
      <c r="R104" s="1">
        <v>12422.39</v>
      </c>
      <c r="S104" s="1">
        <v>94610.67</v>
      </c>
    </row>
    <row r="105" spans="1:19" x14ac:dyDescent="0.25">
      <c r="A105" s="3">
        <v>1001</v>
      </c>
      <c r="B105" s="4" t="s">
        <v>21</v>
      </c>
      <c r="C105" s="4" t="str">
        <f t="shared" si="5"/>
        <v>11</v>
      </c>
      <c r="D105" t="s">
        <v>68</v>
      </c>
      <c r="E105" s="3" t="str">
        <f>"110190000"</f>
        <v>110190000</v>
      </c>
      <c r="F105" t="s">
        <v>94</v>
      </c>
      <c r="G105" t="s">
        <v>95</v>
      </c>
      <c r="H105" t="s">
        <v>96</v>
      </c>
      <c r="I105">
        <v>6</v>
      </c>
      <c r="J105" t="s">
        <v>32</v>
      </c>
      <c r="K105" s="1">
        <v>1493429</v>
      </c>
      <c r="L105" s="1">
        <v>2876056.76</v>
      </c>
      <c r="M105" s="1">
        <v>1382627.76</v>
      </c>
      <c r="N105" s="1">
        <v>1774738.35</v>
      </c>
      <c r="O105" s="1">
        <v>1101318.4099999999</v>
      </c>
      <c r="P105" s="1">
        <v>1774738.35</v>
      </c>
      <c r="Q105">
        <v>0</v>
      </c>
      <c r="R105" s="1">
        <v>1766112.75</v>
      </c>
      <c r="S105" s="1">
        <v>8625.6</v>
      </c>
    </row>
    <row r="106" spans="1:19" x14ac:dyDescent="0.25">
      <c r="A106" s="3">
        <v>1001</v>
      </c>
      <c r="B106" s="4" t="s">
        <v>21</v>
      </c>
      <c r="C106" s="4" t="str">
        <f t="shared" si="5"/>
        <v>11</v>
      </c>
      <c r="D106" t="s">
        <v>68</v>
      </c>
      <c r="E106" s="3" t="str">
        <f>"110200000"</f>
        <v>110200000</v>
      </c>
      <c r="F106" t="s">
        <v>97</v>
      </c>
      <c r="G106" t="s">
        <v>98</v>
      </c>
      <c r="H106" t="s">
        <v>97</v>
      </c>
      <c r="I106">
        <v>1</v>
      </c>
      <c r="J106" t="s">
        <v>25</v>
      </c>
      <c r="K106" s="1">
        <v>1338082</v>
      </c>
      <c r="L106" s="1">
        <v>1193101.6399999999</v>
      </c>
      <c r="M106" s="1">
        <v>-144980.35999999999</v>
      </c>
      <c r="N106" s="1">
        <v>1193098.75</v>
      </c>
      <c r="O106">
        <v>2.89</v>
      </c>
      <c r="P106" s="1">
        <v>1193098.75</v>
      </c>
      <c r="Q106">
        <v>0</v>
      </c>
      <c r="R106" s="1">
        <v>1193098.75</v>
      </c>
      <c r="S106">
        <v>0</v>
      </c>
    </row>
    <row r="107" spans="1:19" x14ac:dyDescent="0.25">
      <c r="A107" s="3">
        <v>1001</v>
      </c>
      <c r="B107" s="4" t="s">
        <v>21</v>
      </c>
      <c r="C107" s="4" t="str">
        <f t="shared" si="5"/>
        <v>11</v>
      </c>
      <c r="D107" t="s">
        <v>68</v>
      </c>
      <c r="E107" s="3" t="str">
        <f>"110200000"</f>
        <v>110200000</v>
      </c>
      <c r="F107" t="s">
        <v>97</v>
      </c>
      <c r="G107" t="s">
        <v>98</v>
      </c>
      <c r="H107" t="s">
        <v>97</v>
      </c>
      <c r="I107">
        <v>2</v>
      </c>
      <c r="J107" t="s">
        <v>26</v>
      </c>
      <c r="K107" s="1">
        <v>26500</v>
      </c>
      <c r="L107" s="1">
        <v>26500</v>
      </c>
      <c r="M107">
        <v>0</v>
      </c>
      <c r="N107" s="1">
        <v>5265.09</v>
      </c>
      <c r="O107" s="1">
        <v>21234.91</v>
      </c>
      <c r="P107" s="1">
        <v>5265.09</v>
      </c>
      <c r="Q107">
        <v>0</v>
      </c>
      <c r="R107" s="1">
        <v>5265.09</v>
      </c>
      <c r="S107">
        <v>0</v>
      </c>
    </row>
    <row r="108" spans="1:19" x14ac:dyDescent="0.25">
      <c r="A108" s="3">
        <v>1001</v>
      </c>
      <c r="B108" s="4" t="s">
        <v>21</v>
      </c>
      <c r="C108" s="4" t="str">
        <f t="shared" si="5"/>
        <v>11</v>
      </c>
      <c r="D108" t="s">
        <v>68</v>
      </c>
      <c r="E108" s="3" t="str">
        <f>"110220000"</f>
        <v>110220000</v>
      </c>
      <c r="F108" t="s">
        <v>99</v>
      </c>
      <c r="G108" t="s">
        <v>100</v>
      </c>
      <c r="H108" t="s">
        <v>101</v>
      </c>
      <c r="I108">
        <v>1</v>
      </c>
      <c r="J108" t="s">
        <v>25</v>
      </c>
      <c r="K108" s="1">
        <v>8687467</v>
      </c>
      <c r="L108" s="1">
        <v>7035610.8399999999</v>
      </c>
      <c r="M108" s="1">
        <v>-1651856.16</v>
      </c>
      <c r="N108" s="1">
        <v>7035607.8499999996</v>
      </c>
      <c r="O108">
        <v>2.99</v>
      </c>
      <c r="P108" s="1">
        <v>7035607.8499999996</v>
      </c>
      <c r="Q108">
        <v>0</v>
      </c>
      <c r="R108" s="1">
        <v>7035607.8499999996</v>
      </c>
      <c r="S108">
        <v>0</v>
      </c>
    </row>
    <row r="109" spans="1:19" x14ac:dyDescent="0.25">
      <c r="A109" s="3">
        <v>1001</v>
      </c>
      <c r="B109" s="4" t="s">
        <v>21</v>
      </c>
      <c r="C109" s="4" t="str">
        <f t="shared" si="5"/>
        <v>11</v>
      </c>
      <c r="D109" t="s">
        <v>68</v>
      </c>
      <c r="E109" s="3" t="str">
        <f>"110220000"</f>
        <v>110220000</v>
      </c>
      <c r="F109" t="s">
        <v>99</v>
      </c>
      <c r="G109" t="s">
        <v>100</v>
      </c>
      <c r="H109" t="s">
        <v>101</v>
      </c>
      <c r="I109">
        <v>2</v>
      </c>
      <c r="J109" t="s">
        <v>26</v>
      </c>
      <c r="K109" s="1">
        <v>15060235</v>
      </c>
      <c r="L109" s="1">
        <v>16112033.630000001</v>
      </c>
      <c r="M109" s="1">
        <v>1051798.6299999999</v>
      </c>
      <c r="N109" s="1">
        <v>16002905.390000001</v>
      </c>
      <c r="O109" s="1">
        <v>109128.24</v>
      </c>
      <c r="P109" s="1">
        <v>16002905.390000001</v>
      </c>
      <c r="Q109">
        <v>0</v>
      </c>
      <c r="R109" s="1">
        <v>14867362.33</v>
      </c>
      <c r="S109" s="1">
        <v>1135543.06</v>
      </c>
    </row>
    <row r="110" spans="1:19" x14ac:dyDescent="0.25">
      <c r="A110" s="3">
        <v>1001</v>
      </c>
      <c r="B110" s="4" t="s">
        <v>21</v>
      </c>
      <c r="C110" s="4" t="str">
        <f t="shared" si="5"/>
        <v>11</v>
      </c>
      <c r="D110" t="s">
        <v>68</v>
      </c>
      <c r="E110" s="3" t="str">
        <f>"110220000"</f>
        <v>110220000</v>
      </c>
      <c r="F110" t="s">
        <v>99</v>
      </c>
      <c r="G110" t="s">
        <v>100</v>
      </c>
      <c r="H110" t="s">
        <v>101</v>
      </c>
      <c r="I110">
        <v>4</v>
      </c>
      <c r="J110" t="s">
        <v>36</v>
      </c>
      <c r="K110" s="1">
        <v>51934535</v>
      </c>
      <c r="L110" s="1">
        <v>53837641</v>
      </c>
      <c r="M110" s="1">
        <v>1903106</v>
      </c>
      <c r="N110" s="1">
        <v>53837641</v>
      </c>
      <c r="O110">
        <v>0</v>
      </c>
      <c r="P110" s="1">
        <v>53837331</v>
      </c>
      <c r="Q110">
        <v>310</v>
      </c>
      <c r="R110" s="1">
        <v>53275576.950000003</v>
      </c>
      <c r="S110" s="1">
        <v>561754.05000000005</v>
      </c>
    </row>
    <row r="111" spans="1:19" x14ac:dyDescent="0.25">
      <c r="A111" s="3">
        <v>1001</v>
      </c>
      <c r="B111" s="4" t="s">
        <v>21</v>
      </c>
      <c r="C111" s="4" t="str">
        <f t="shared" si="5"/>
        <v>11</v>
      </c>
      <c r="D111" t="s">
        <v>68</v>
      </c>
      <c r="E111" s="3" t="str">
        <f>"110220000"</f>
        <v>110220000</v>
      </c>
      <c r="F111" t="s">
        <v>99</v>
      </c>
      <c r="G111" t="s">
        <v>102</v>
      </c>
      <c r="H111" t="s">
        <v>103</v>
      </c>
      <c r="I111">
        <v>1</v>
      </c>
      <c r="J111" t="s">
        <v>25</v>
      </c>
      <c r="K111" s="1">
        <v>332700886</v>
      </c>
      <c r="L111" s="1">
        <v>341782949.37</v>
      </c>
      <c r="M111" s="1">
        <v>9082063.3699999992</v>
      </c>
      <c r="N111" s="1">
        <v>341779107.25</v>
      </c>
      <c r="O111" s="1">
        <v>3842.12</v>
      </c>
      <c r="P111" s="1">
        <v>341779107.25</v>
      </c>
      <c r="Q111">
        <v>0</v>
      </c>
      <c r="R111" s="1">
        <v>341778246.43000001</v>
      </c>
      <c r="S111">
        <v>860.82</v>
      </c>
    </row>
    <row r="112" spans="1:19" x14ac:dyDescent="0.25">
      <c r="A112" s="3">
        <v>1001</v>
      </c>
      <c r="B112" s="4" t="s">
        <v>21</v>
      </c>
      <c r="C112" s="4" t="str">
        <f t="shared" si="5"/>
        <v>11</v>
      </c>
      <c r="D112" t="s">
        <v>68</v>
      </c>
      <c r="E112" s="3" t="str">
        <f>"110220000"</f>
        <v>110220000</v>
      </c>
      <c r="F112" t="s">
        <v>99</v>
      </c>
      <c r="G112" t="s">
        <v>102</v>
      </c>
      <c r="H112" t="s">
        <v>103</v>
      </c>
      <c r="I112">
        <v>8</v>
      </c>
      <c r="J112" t="s">
        <v>27</v>
      </c>
      <c r="K112" s="1">
        <v>55085</v>
      </c>
      <c r="L112" s="1">
        <v>19540</v>
      </c>
      <c r="M112" s="1">
        <v>-35545</v>
      </c>
      <c r="N112" s="1">
        <v>19540</v>
      </c>
      <c r="O112">
        <v>0</v>
      </c>
      <c r="P112" s="1">
        <v>19540</v>
      </c>
      <c r="Q112">
        <v>0</v>
      </c>
      <c r="R112" s="1">
        <v>19540</v>
      </c>
      <c r="S112">
        <v>0</v>
      </c>
    </row>
    <row r="113" spans="1:19" x14ac:dyDescent="0.25">
      <c r="A113" s="3">
        <v>1001</v>
      </c>
      <c r="B113" s="4" t="s">
        <v>21</v>
      </c>
      <c r="C113" s="4" t="str">
        <f t="shared" si="5"/>
        <v>11</v>
      </c>
      <c r="D113" t="s">
        <v>68</v>
      </c>
      <c r="E113" s="3" t="str">
        <f>"110230000"</f>
        <v>110230000</v>
      </c>
      <c r="F113" t="s">
        <v>104</v>
      </c>
      <c r="G113" t="s">
        <v>105</v>
      </c>
      <c r="H113" t="s">
        <v>106</v>
      </c>
      <c r="I113">
        <v>1</v>
      </c>
      <c r="J113" t="s">
        <v>25</v>
      </c>
      <c r="K113" s="1">
        <v>3047389</v>
      </c>
      <c r="L113" s="1">
        <v>2366908.0699999998</v>
      </c>
      <c r="M113" s="1">
        <v>-680480.93</v>
      </c>
      <c r="N113" s="1">
        <v>2366905.79</v>
      </c>
      <c r="O113">
        <v>2.2799999999999998</v>
      </c>
      <c r="P113" s="1">
        <v>2366905.79</v>
      </c>
      <c r="Q113">
        <v>0</v>
      </c>
      <c r="R113" s="1">
        <v>2366905.79</v>
      </c>
      <c r="S113">
        <v>0</v>
      </c>
    </row>
    <row r="114" spans="1:19" x14ac:dyDescent="0.25">
      <c r="A114" s="3">
        <v>1001</v>
      </c>
      <c r="B114" s="4" t="s">
        <v>21</v>
      </c>
      <c r="C114" s="4" t="str">
        <f t="shared" si="5"/>
        <v>11</v>
      </c>
      <c r="D114" t="s">
        <v>68</v>
      </c>
      <c r="E114" s="3" t="str">
        <f>"110230000"</f>
        <v>110230000</v>
      </c>
      <c r="F114" t="s">
        <v>104</v>
      </c>
      <c r="G114" t="s">
        <v>105</v>
      </c>
      <c r="H114" t="s">
        <v>106</v>
      </c>
      <c r="I114">
        <v>2</v>
      </c>
      <c r="J114" t="s">
        <v>26</v>
      </c>
      <c r="K114" s="1">
        <v>74704368</v>
      </c>
      <c r="L114" s="1">
        <v>76836285.879999995</v>
      </c>
      <c r="M114" s="1">
        <v>2131917.88</v>
      </c>
      <c r="N114" s="1">
        <v>75971353.629999995</v>
      </c>
      <c r="O114" s="1">
        <v>864932.25</v>
      </c>
      <c r="P114" s="1">
        <v>75971353.629999995</v>
      </c>
      <c r="Q114">
        <v>0</v>
      </c>
      <c r="R114" s="1">
        <v>74207388.810000002</v>
      </c>
      <c r="S114" s="1">
        <v>1763964.82</v>
      </c>
    </row>
    <row r="115" spans="1:19" x14ac:dyDescent="0.25">
      <c r="A115" s="3">
        <v>1001</v>
      </c>
      <c r="B115" s="4" t="s">
        <v>21</v>
      </c>
      <c r="C115" s="4" t="str">
        <f t="shared" si="5"/>
        <v>11</v>
      </c>
      <c r="D115" t="s">
        <v>68</v>
      </c>
      <c r="E115" s="3" t="str">
        <f>"110230000"</f>
        <v>110230000</v>
      </c>
      <c r="F115" t="s">
        <v>104</v>
      </c>
      <c r="G115" t="s">
        <v>105</v>
      </c>
      <c r="H115" t="s">
        <v>106</v>
      </c>
      <c r="I115">
        <v>6</v>
      </c>
      <c r="J115" t="s">
        <v>32</v>
      </c>
      <c r="K115" s="1">
        <v>31244932</v>
      </c>
      <c r="L115" s="1">
        <v>23667472.829999998</v>
      </c>
      <c r="M115" s="1">
        <v>-7577459.1699999999</v>
      </c>
      <c r="N115" s="1">
        <v>17438981.739999998</v>
      </c>
      <c r="O115" s="1">
        <v>6228491.0899999999</v>
      </c>
      <c r="P115" s="1">
        <v>17331717.57</v>
      </c>
      <c r="Q115" s="1">
        <v>107264.17</v>
      </c>
      <c r="R115" s="1">
        <v>14825316.1</v>
      </c>
      <c r="S115" s="1">
        <v>2506401.4700000002</v>
      </c>
    </row>
    <row r="116" spans="1:19" x14ac:dyDescent="0.25">
      <c r="A116" s="3">
        <v>1001</v>
      </c>
      <c r="B116" s="4" t="s">
        <v>21</v>
      </c>
      <c r="C116" s="4" t="str">
        <f t="shared" ref="C116:C163" si="7">"12"</f>
        <v>12</v>
      </c>
      <c r="D116" t="s">
        <v>107</v>
      </c>
      <c r="E116" s="3" t="str">
        <f>"120010000"</f>
        <v>120010000</v>
      </c>
      <c r="F116" t="s">
        <v>108</v>
      </c>
      <c r="G116" t="s">
        <v>109</v>
      </c>
      <c r="H116" t="s">
        <v>110</v>
      </c>
      <c r="I116">
        <v>1</v>
      </c>
      <c r="J116" t="s">
        <v>25</v>
      </c>
      <c r="K116" s="1">
        <v>12871448</v>
      </c>
      <c r="L116" s="1">
        <v>13717685.51</v>
      </c>
      <c r="M116" s="1">
        <v>846237.51</v>
      </c>
      <c r="N116" s="1">
        <v>13606317.84</v>
      </c>
      <c r="O116" s="1">
        <v>111367.67</v>
      </c>
      <c r="P116" s="1">
        <v>13606317.84</v>
      </c>
      <c r="Q116">
        <v>0</v>
      </c>
      <c r="R116" s="1">
        <v>13606317.84</v>
      </c>
      <c r="S116">
        <v>0</v>
      </c>
    </row>
    <row r="117" spans="1:19" x14ac:dyDescent="0.25">
      <c r="A117" s="3">
        <v>1001</v>
      </c>
      <c r="B117" s="4" t="s">
        <v>21</v>
      </c>
      <c r="C117" s="4" t="str">
        <f t="shared" si="7"/>
        <v>12</v>
      </c>
      <c r="D117" t="s">
        <v>107</v>
      </c>
      <c r="E117" s="3" t="str">
        <f>"120010000"</f>
        <v>120010000</v>
      </c>
      <c r="F117" t="s">
        <v>108</v>
      </c>
      <c r="G117" t="s">
        <v>109</v>
      </c>
      <c r="H117" t="s">
        <v>110</v>
      </c>
      <c r="I117">
        <v>2</v>
      </c>
      <c r="J117" t="s">
        <v>26</v>
      </c>
      <c r="K117" s="1">
        <v>25059839</v>
      </c>
      <c r="L117" s="1">
        <v>25694750.510000002</v>
      </c>
      <c r="M117" s="1">
        <v>634911.51</v>
      </c>
      <c r="N117" s="1">
        <v>24863128.760000002</v>
      </c>
      <c r="O117" s="1">
        <v>831621.75</v>
      </c>
      <c r="P117" s="1">
        <v>24863128.760000002</v>
      </c>
      <c r="Q117">
        <v>0</v>
      </c>
      <c r="R117" s="1">
        <v>24816448.75</v>
      </c>
      <c r="S117" s="1">
        <v>46680.01</v>
      </c>
    </row>
    <row r="118" spans="1:19" x14ac:dyDescent="0.25">
      <c r="A118" s="3">
        <v>1001</v>
      </c>
      <c r="B118" s="4" t="s">
        <v>21</v>
      </c>
      <c r="C118" s="4" t="str">
        <f t="shared" si="7"/>
        <v>12</v>
      </c>
      <c r="D118" t="s">
        <v>107</v>
      </c>
      <c r="E118" s="3" t="str">
        <f>"120010000"</f>
        <v>120010000</v>
      </c>
      <c r="F118" t="s">
        <v>108</v>
      </c>
      <c r="G118" t="s">
        <v>109</v>
      </c>
      <c r="H118" t="s">
        <v>110</v>
      </c>
      <c r="I118">
        <v>4</v>
      </c>
      <c r="J118" t="s">
        <v>36</v>
      </c>
      <c r="K118">
        <v>0</v>
      </c>
      <c r="L118" s="1">
        <v>5154808.21</v>
      </c>
      <c r="M118" s="1">
        <v>5154808.21</v>
      </c>
      <c r="N118" s="1">
        <v>5023241.68</v>
      </c>
      <c r="O118" s="1">
        <v>131566.53</v>
      </c>
      <c r="P118" s="1">
        <v>5023241.68</v>
      </c>
      <c r="Q118">
        <v>0</v>
      </c>
      <c r="R118" s="1">
        <v>5023241.68</v>
      </c>
      <c r="S118">
        <v>0</v>
      </c>
    </row>
    <row r="119" spans="1:19" x14ac:dyDescent="0.25">
      <c r="A119" s="3">
        <v>1001</v>
      </c>
      <c r="B119" s="4" t="s">
        <v>21</v>
      </c>
      <c r="C119" s="4" t="str">
        <f t="shared" si="7"/>
        <v>12</v>
      </c>
      <c r="D119" t="s">
        <v>107</v>
      </c>
      <c r="E119" s="3" t="str">
        <f>"120010000"</f>
        <v>120010000</v>
      </c>
      <c r="F119" t="s">
        <v>108</v>
      </c>
      <c r="G119" t="s">
        <v>109</v>
      </c>
      <c r="H119" t="s">
        <v>110</v>
      </c>
      <c r="I119">
        <v>6</v>
      </c>
      <c r="J119" t="s">
        <v>32</v>
      </c>
      <c r="K119" s="1">
        <v>998192</v>
      </c>
      <c r="L119" s="1">
        <v>1438067.19</v>
      </c>
      <c r="M119" s="1">
        <v>439875.19</v>
      </c>
      <c r="N119" s="1">
        <v>1112247.8999999999</v>
      </c>
      <c r="O119" s="1">
        <v>325819.28999999998</v>
      </c>
      <c r="P119" s="1">
        <v>1112247.8999999999</v>
      </c>
      <c r="Q119">
        <v>0</v>
      </c>
      <c r="R119" s="1">
        <v>1091810.8799999999</v>
      </c>
      <c r="S119" s="1">
        <v>20437.02</v>
      </c>
    </row>
    <row r="120" spans="1:19" x14ac:dyDescent="0.25">
      <c r="A120" s="3">
        <v>1001</v>
      </c>
      <c r="B120" s="4" t="s">
        <v>21</v>
      </c>
      <c r="C120" s="4" t="str">
        <f t="shared" si="7"/>
        <v>12</v>
      </c>
      <c r="D120" t="s">
        <v>107</v>
      </c>
      <c r="E120" s="3" t="str">
        <f>"120010000"</f>
        <v>120010000</v>
      </c>
      <c r="F120" t="s">
        <v>108</v>
      </c>
      <c r="G120" t="s">
        <v>109</v>
      </c>
      <c r="H120" t="s">
        <v>110</v>
      </c>
      <c r="I120">
        <v>8</v>
      </c>
      <c r="J120" t="s">
        <v>27</v>
      </c>
      <c r="K120" s="1">
        <v>228056</v>
      </c>
      <c r="L120" s="1">
        <v>111165.86</v>
      </c>
      <c r="M120" s="1">
        <v>-116890.14</v>
      </c>
      <c r="N120" s="1">
        <v>111165.86</v>
      </c>
      <c r="O120">
        <v>0</v>
      </c>
      <c r="P120" s="1">
        <v>111165.86</v>
      </c>
      <c r="Q120">
        <v>0</v>
      </c>
      <c r="R120" s="1">
        <v>111165.86</v>
      </c>
      <c r="S120">
        <v>0</v>
      </c>
    </row>
    <row r="121" spans="1:19" x14ac:dyDescent="0.25">
      <c r="A121" s="3">
        <v>1001</v>
      </c>
      <c r="B121" s="4" t="s">
        <v>21</v>
      </c>
      <c r="C121" s="4" t="str">
        <f t="shared" si="7"/>
        <v>12</v>
      </c>
      <c r="D121" t="s">
        <v>107</v>
      </c>
      <c r="E121" s="3" t="str">
        <f t="shared" ref="E121:E126" si="8">"120130000"</f>
        <v>120130000</v>
      </c>
      <c r="F121" t="s">
        <v>111</v>
      </c>
      <c r="G121" t="s">
        <v>112</v>
      </c>
      <c r="H121" t="s">
        <v>113</v>
      </c>
      <c r="I121">
        <v>1</v>
      </c>
      <c r="J121" t="s">
        <v>25</v>
      </c>
      <c r="K121" s="1">
        <v>2701522</v>
      </c>
      <c r="L121" s="1">
        <v>2316182.4</v>
      </c>
      <c r="M121" s="1">
        <v>-385339.6</v>
      </c>
      <c r="N121" s="1">
        <v>2316178.94</v>
      </c>
      <c r="O121">
        <v>3.46</v>
      </c>
      <c r="P121" s="1">
        <v>2316178.94</v>
      </c>
      <c r="Q121">
        <v>0</v>
      </c>
      <c r="R121" s="1">
        <v>2316178.94</v>
      </c>
      <c r="S121">
        <v>0</v>
      </c>
    </row>
    <row r="122" spans="1:19" x14ac:dyDescent="0.25">
      <c r="A122" s="3">
        <v>1001</v>
      </c>
      <c r="B122" s="4" t="s">
        <v>21</v>
      </c>
      <c r="C122" s="4" t="str">
        <f t="shared" si="7"/>
        <v>12</v>
      </c>
      <c r="D122" t="s">
        <v>107</v>
      </c>
      <c r="E122" s="3" t="str">
        <f t="shared" si="8"/>
        <v>120130000</v>
      </c>
      <c r="F122" t="s">
        <v>111</v>
      </c>
      <c r="G122" t="s">
        <v>112</v>
      </c>
      <c r="H122" t="s">
        <v>113</v>
      </c>
      <c r="I122">
        <v>2</v>
      </c>
      <c r="J122" t="s">
        <v>26</v>
      </c>
      <c r="K122" s="1">
        <v>1661730</v>
      </c>
      <c r="L122" s="1">
        <v>1608574.98</v>
      </c>
      <c r="M122" s="1">
        <v>-53155.02</v>
      </c>
      <c r="N122" s="1">
        <v>1269028.6000000001</v>
      </c>
      <c r="O122" s="1">
        <v>339546.38</v>
      </c>
      <c r="P122" s="1">
        <v>1269028.6000000001</v>
      </c>
      <c r="Q122">
        <v>0</v>
      </c>
      <c r="R122" s="1">
        <v>1218170.1399999999</v>
      </c>
      <c r="S122" s="1">
        <v>50858.46</v>
      </c>
    </row>
    <row r="123" spans="1:19" x14ac:dyDescent="0.25">
      <c r="A123" s="3">
        <v>1001</v>
      </c>
      <c r="B123" s="4" t="s">
        <v>21</v>
      </c>
      <c r="C123" s="4" t="str">
        <f t="shared" si="7"/>
        <v>12</v>
      </c>
      <c r="D123" t="s">
        <v>107</v>
      </c>
      <c r="E123" s="3" t="str">
        <f t="shared" si="8"/>
        <v>120130000</v>
      </c>
      <c r="F123" t="s">
        <v>111</v>
      </c>
      <c r="G123" t="s">
        <v>112</v>
      </c>
      <c r="H123" t="s">
        <v>113</v>
      </c>
      <c r="I123">
        <v>4</v>
      </c>
      <c r="J123" t="s">
        <v>36</v>
      </c>
      <c r="K123" s="1">
        <v>865000</v>
      </c>
      <c r="L123" s="1">
        <v>625000</v>
      </c>
      <c r="M123" s="1">
        <v>-240000</v>
      </c>
      <c r="N123" s="1">
        <v>625000</v>
      </c>
      <c r="O123">
        <v>0</v>
      </c>
      <c r="P123" s="1">
        <v>584805.38</v>
      </c>
      <c r="Q123" s="1">
        <v>40194.620000000003</v>
      </c>
      <c r="R123" s="1">
        <v>584805.38</v>
      </c>
      <c r="S123">
        <v>0</v>
      </c>
    </row>
    <row r="124" spans="1:19" x14ac:dyDescent="0.25">
      <c r="A124" s="3">
        <v>1001</v>
      </c>
      <c r="B124" s="4" t="s">
        <v>21</v>
      </c>
      <c r="C124" s="4" t="str">
        <f t="shared" si="7"/>
        <v>12</v>
      </c>
      <c r="D124" t="s">
        <v>107</v>
      </c>
      <c r="E124" s="3" t="str">
        <f t="shared" si="8"/>
        <v>120130000</v>
      </c>
      <c r="F124" t="s">
        <v>111</v>
      </c>
      <c r="G124" t="s">
        <v>112</v>
      </c>
      <c r="H124" t="s">
        <v>113</v>
      </c>
      <c r="I124">
        <v>7</v>
      </c>
      <c r="J124" t="s">
        <v>40</v>
      </c>
      <c r="K124" s="1">
        <v>14122668</v>
      </c>
      <c r="L124" s="1">
        <v>14044382</v>
      </c>
      <c r="M124" s="1">
        <v>-78286</v>
      </c>
      <c r="N124" s="1">
        <v>14044382</v>
      </c>
      <c r="O124">
        <v>0</v>
      </c>
      <c r="P124" s="1">
        <v>12419820.35</v>
      </c>
      <c r="Q124" s="1">
        <v>1624561.65</v>
      </c>
      <c r="R124" s="1">
        <v>10894029.029999999</v>
      </c>
      <c r="S124" s="1">
        <v>1525791.32</v>
      </c>
    </row>
    <row r="125" spans="1:19" x14ac:dyDescent="0.25">
      <c r="A125" s="3">
        <v>1001</v>
      </c>
      <c r="B125" s="4" t="s">
        <v>21</v>
      </c>
      <c r="C125" s="4" t="str">
        <f t="shared" si="7"/>
        <v>12</v>
      </c>
      <c r="D125" t="s">
        <v>107</v>
      </c>
      <c r="E125" s="3" t="str">
        <f t="shared" si="8"/>
        <v>120130000</v>
      </c>
      <c r="F125" t="s">
        <v>111</v>
      </c>
      <c r="G125" t="s">
        <v>114</v>
      </c>
      <c r="H125" t="s">
        <v>115</v>
      </c>
      <c r="I125">
        <v>1</v>
      </c>
      <c r="J125" t="s">
        <v>25</v>
      </c>
      <c r="K125" s="1">
        <v>5102641</v>
      </c>
      <c r="L125" s="1">
        <v>4158619.5</v>
      </c>
      <c r="M125" s="1">
        <v>-944021.5</v>
      </c>
      <c r="N125" s="1">
        <v>4158612.75</v>
      </c>
      <c r="O125">
        <v>6.75</v>
      </c>
      <c r="P125" s="1">
        <v>4158612.75</v>
      </c>
      <c r="Q125">
        <v>0</v>
      </c>
      <c r="R125" s="1">
        <v>4158612.75</v>
      </c>
      <c r="S125">
        <v>0</v>
      </c>
    </row>
    <row r="126" spans="1:19" x14ac:dyDescent="0.25">
      <c r="A126" s="3">
        <v>1001</v>
      </c>
      <c r="B126" s="4" t="s">
        <v>21</v>
      </c>
      <c r="C126" s="4" t="str">
        <f t="shared" si="7"/>
        <v>12</v>
      </c>
      <c r="D126" t="s">
        <v>107</v>
      </c>
      <c r="E126" s="3" t="str">
        <f t="shared" si="8"/>
        <v>120130000</v>
      </c>
      <c r="F126" t="s">
        <v>111</v>
      </c>
      <c r="G126" t="s">
        <v>114</v>
      </c>
      <c r="H126" t="s">
        <v>115</v>
      </c>
      <c r="I126">
        <v>2</v>
      </c>
      <c r="J126" t="s">
        <v>26</v>
      </c>
      <c r="K126" s="1">
        <v>878600</v>
      </c>
      <c r="L126" s="1">
        <v>787188.99</v>
      </c>
      <c r="M126" s="1">
        <v>-91411.01</v>
      </c>
      <c r="N126" s="1">
        <v>720329.35</v>
      </c>
      <c r="O126" s="1">
        <v>66859.64</v>
      </c>
      <c r="P126" s="1">
        <v>720329.35</v>
      </c>
      <c r="Q126">
        <v>0</v>
      </c>
      <c r="R126" s="1">
        <v>710942.63</v>
      </c>
      <c r="S126" s="1">
        <v>9386.7199999999993</v>
      </c>
    </row>
    <row r="127" spans="1:19" x14ac:dyDescent="0.25">
      <c r="A127" s="3">
        <v>1001</v>
      </c>
      <c r="B127" s="4" t="s">
        <v>21</v>
      </c>
      <c r="C127" s="4" t="str">
        <f t="shared" si="7"/>
        <v>12</v>
      </c>
      <c r="D127" t="s">
        <v>107</v>
      </c>
      <c r="E127" s="3" t="str">
        <f>"120140000"</f>
        <v>120140000</v>
      </c>
      <c r="F127" t="s">
        <v>116</v>
      </c>
      <c r="G127" t="s">
        <v>117</v>
      </c>
      <c r="H127" t="s">
        <v>118</v>
      </c>
      <c r="I127">
        <v>1</v>
      </c>
      <c r="J127" t="s">
        <v>25</v>
      </c>
      <c r="K127" s="1">
        <v>7853658</v>
      </c>
      <c r="L127" s="1">
        <v>6589893.2800000003</v>
      </c>
      <c r="M127" s="1">
        <v>-1263764.72</v>
      </c>
      <c r="N127" s="1">
        <v>6589889.7000000002</v>
      </c>
      <c r="O127">
        <v>3.58</v>
      </c>
      <c r="P127" s="1">
        <v>6589889.7000000002</v>
      </c>
      <c r="Q127">
        <v>0</v>
      </c>
      <c r="R127" s="1">
        <v>6589889.7000000002</v>
      </c>
      <c r="S127">
        <v>0</v>
      </c>
    </row>
    <row r="128" spans="1:19" x14ac:dyDescent="0.25">
      <c r="A128" s="3">
        <v>1001</v>
      </c>
      <c r="B128" s="4" t="s">
        <v>21</v>
      </c>
      <c r="C128" s="4" t="str">
        <f t="shared" si="7"/>
        <v>12</v>
      </c>
      <c r="D128" t="s">
        <v>107</v>
      </c>
      <c r="E128" s="3" t="str">
        <f>"120150000"</f>
        <v>120150000</v>
      </c>
      <c r="F128" t="s">
        <v>119</v>
      </c>
      <c r="G128" t="s">
        <v>120</v>
      </c>
      <c r="H128" t="s">
        <v>121</v>
      </c>
      <c r="I128">
        <v>1</v>
      </c>
      <c r="J128" t="s">
        <v>25</v>
      </c>
      <c r="K128" s="1">
        <v>1366018</v>
      </c>
      <c r="L128" s="1">
        <v>755618.96</v>
      </c>
      <c r="M128" s="1">
        <v>-610399.04</v>
      </c>
      <c r="N128" s="1">
        <v>755615.82</v>
      </c>
      <c r="O128">
        <v>3.14</v>
      </c>
      <c r="P128" s="1">
        <v>755615.82</v>
      </c>
      <c r="Q128">
        <v>0</v>
      </c>
      <c r="R128" s="1">
        <v>755615.82</v>
      </c>
      <c r="S128">
        <v>0</v>
      </c>
    </row>
    <row r="129" spans="1:19" x14ac:dyDescent="0.25">
      <c r="A129" s="3">
        <v>1001</v>
      </c>
      <c r="B129" s="4" t="s">
        <v>21</v>
      </c>
      <c r="C129" s="4" t="str">
        <f t="shared" si="7"/>
        <v>12</v>
      </c>
      <c r="D129" t="s">
        <v>107</v>
      </c>
      <c r="E129" s="3" t="str">
        <f>"120150000"</f>
        <v>120150000</v>
      </c>
      <c r="F129" t="s">
        <v>119</v>
      </c>
      <c r="G129" t="s">
        <v>120</v>
      </c>
      <c r="H129" t="s">
        <v>121</v>
      </c>
      <c r="I129">
        <v>2</v>
      </c>
      <c r="J129" t="s">
        <v>26</v>
      </c>
      <c r="K129" s="1">
        <v>526473</v>
      </c>
      <c r="L129" s="1">
        <v>914363</v>
      </c>
      <c r="M129" s="1">
        <v>387890</v>
      </c>
      <c r="N129" s="1">
        <v>658333.69999999995</v>
      </c>
      <c r="O129" s="1">
        <v>256029.3</v>
      </c>
      <c r="P129" s="1">
        <v>658333.69999999995</v>
      </c>
      <c r="Q129">
        <v>0</v>
      </c>
      <c r="R129" s="1">
        <v>549433.68999999994</v>
      </c>
      <c r="S129" s="1">
        <v>108900.01</v>
      </c>
    </row>
    <row r="130" spans="1:19" x14ac:dyDescent="0.25">
      <c r="A130" s="3">
        <v>1001</v>
      </c>
      <c r="B130" s="4" t="s">
        <v>21</v>
      </c>
      <c r="C130" s="4" t="str">
        <f t="shared" si="7"/>
        <v>12</v>
      </c>
      <c r="D130" t="s">
        <v>107</v>
      </c>
      <c r="E130" s="3" t="str">
        <f>"120150000"</f>
        <v>120150000</v>
      </c>
      <c r="F130" t="s">
        <v>119</v>
      </c>
      <c r="G130" t="s">
        <v>122</v>
      </c>
      <c r="H130" t="s">
        <v>123</v>
      </c>
      <c r="I130">
        <v>1</v>
      </c>
      <c r="J130" t="s">
        <v>25</v>
      </c>
      <c r="K130" s="1">
        <v>5099269</v>
      </c>
      <c r="L130" s="1">
        <v>4475185.6100000003</v>
      </c>
      <c r="M130" s="1">
        <v>-624083.39</v>
      </c>
      <c r="N130" s="1">
        <v>4475180.0599999996</v>
      </c>
      <c r="O130">
        <v>5.55</v>
      </c>
      <c r="P130" s="1">
        <v>4475180.0599999996</v>
      </c>
      <c r="Q130">
        <v>0</v>
      </c>
      <c r="R130" s="1">
        <v>4475180.0599999996</v>
      </c>
      <c r="S130">
        <v>0</v>
      </c>
    </row>
    <row r="131" spans="1:19" x14ac:dyDescent="0.25">
      <c r="A131" s="3">
        <v>1001</v>
      </c>
      <c r="B131" s="4" t="s">
        <v>21</v>
      </c>
      <c r="C131" s="4" t="str">
        <f t="shared" si="7"/>
        <v>12</v>
      </c>
      <c r="D131" t="s">
        <v>107</v>
      </c>
      <c r="E131" s="3" t="str">
        <f>"120160000"</f>
        <v>120160000</v>
      </c>
      <c r="F131" t="s">
        <v>124</v>
      </c>
      <c r="G131" t="s">
        <v>125</v>
      </c>
      <c r="H131" t="s">
        <v>126</v>
      </c>
      <c r="I131">
        <v>1</v>
      </c>
      <c r="J131" t="s">
        <v>25</v>
      </c>
      <c r="K131" s="1">
        <v>25230483</v>
      </c>
      <c r="L131" s="1">
        <v>21180238.390000001</v>
      </c>
      <c r="M131" s="1">
        <v>-4050244.61</v>
      </c>
      <c r="N131" s="1">
        <v>21180233.989999998</v>
      </c>
      <c r="O131">
        <v>4.4000000000000004</v>
      </c>
      <c r="P131" s="1">
        <v>21180233.989999998</v>
      </c>
      <c r="Q131">
        <v>0</v>
      </c>
      <c r="R131" s="1">
        <v>21180233.989999998</v>
      </c>
      <c r="S131">
        <v>0</v>
      </c>
    </row>
    <row r="132" spans="1:19" x14ac:dyDescent="0.25">
      <c r="A132" s="3">
        <v>1001</v>
      </c>
      <c r="B132" s="4" t="s">
        <v>21</v>
      </c>
      <c r="C132" s="4" t="str">
        <f t="shared" si="7"/>
        <v>12</v>
      </c>
      <c r="D132" t="s">
        <v>107</v>
      </c>
      <c r="E132" s="3" t="str">
        <f>"120160000"</f>
        <v>120160000</v>
      </c>
      <c r="F132" t="s">
        <v>124</v>
      </c>
      <c r="G132" t="s">
        <v>125</v>
      </c>
      <c r="H132" t="s">
        <v>126</v>
      </c>
      <c r="I132">
        <v>2</v>
      </c>
      <c r="J132" t="s">
        <v>26</v>
      </c>
      <c r="K132" s="1">
        <v>11926700</v>
      </c>
      <c r="L132" s="1">
        <v>11632989.4</v>
      </c>
      <c r="M132" s="1">
        <v>-293710.59999999998</v>
      </c>
      <c r="N132" s="1">
        <v>11195968.869999999</v>
      </c>
      <c r="O132" s="1">
        <v>437020.53</v>
      </c>
      <c r="P132" s="1">
        <v>11195968.869999999</v>
      </c>
      <c r="Q132">
        <v>0</v>
      </c>
      <c r="R132" s="1">
        <v>11195968.869999999</v>
      </c>
      <c r="S132">
        <v>0</v>
      </c>
    </row>
    <row r="133" spans="1:19" x14ac:dyDescent="0.25">
      <c r="A133" s="3">
        <v>1001</v>
      </c>
      <c r="B133" s="4" t="s">
        <v>21</v>
      </c>
      <c r="C133" s="4" t="str">
        <f t="shared" si="7"/>
        <v>12</v>
      </c>
      <c r="D133" t="s">
        <v>107</v>
      </c>
      <c r="E133" s="3" t="str">
        <f>"120170000"</f>
        <v>120170000</v>
      </c>
      <c r="F133" t="s">
        <v>127</v>
      </c>
      <c r="G133" t="s">
        <v>128</v>
      </c>
      <c r="H133" t="s">
        <v>129</v>
      </c>
      <c r="I133">
        <v>1</v>
      </c>
      <c r="J133" t="s">
        <v>25</v>
      </c>
      <c r="K133" s="1">
        <v>4804873</v>
      </c>
      <c r="L133" s="1">
        <v>4463617.46</v>
      </c>
      <c r="M133" s="1">
        <v>-341255.54</v>
      </c>
      <c r="N133" s="1">
        <v>4463610.0199999996</v>
      </c>
      <c r="O133">
        <v>7.44</v>
      </c>
      <c r="P133" s="1">
        <v>4463610.0199999996</v>
      </c>
      <c r="Q133">
        <v>0</v>
      </c>
      <c r="R133" s="1">
        <v>4463610.0199999996</v>
      </c>
      <c r="S133">
        <v>0</v>
      </c>
    </row>
    <row r="134" spans="1:19" x14ac:dyDescent="0.25">
      <c r="A134" s="3">
        <v>1001</v>
      </c>
      <c r="B134" s="4" t="s">
        <v>21</v>
      </c>
      <c r="C134" s="4" t="str">
        <f t="shared" si="7"/>
        <v>12</v>
      </c>
      <c r="D134" t="s">
        <v>107</v>
      </c>
      <c r="E134" s="3" t="str">
        <f>"120170000"</f>
        <v>120170000</v>
      </c>
      <c r="F134" t="s">
        <v>127</v>
      </c>
      <c r="G134" t="s">
        <v>128</v>
      </c>
      <c r="H134" t="s">
        <v>129</v>
      </c>
      <c r="I134">
        <v>2</v>
      </c>
      <c r="J134" t="s">
        <v>26</v>
      </c>
      <c r="K134" s="1">
        <v>451302</v>
      </c>
      <c r="L134" s="1">
        <v>451302</v>
      </c>
      <c r="M134">
        <v>0</v>
      </c>
      <c r="N134" s="1">
        <v>364372.41</v>
      </c>
      <c r="O134" s="1">
        <v>86929.59</v>
      </c>
      <c r="P134" s="1">
        <v>364372.41</v>
      </c>
      <c r="Q134">
        <v>0</v>
      </c>
      <c r="R134" s="1">
        <v>364372.41</v>
      </c>
      <c r="S134">
        <v>0</v>
      </c>
    </row>
    <row r="135" spans="1:19" x14ac:dyDescent="0.25">
      <c r="A135" s="3">
        <v>1001</v>
      </c>
      <c r="B135" s="4" t="s">
        <v>21</v>
      </c>
      <c r="C135" s="4" t="str">
        <f t="shared" si="7"/>
        <v>12</v>
      </c>
      <c r="D135" t="s">
        <v>107</v>
      </c>
      <c r="E135" s="3" t="str">
        <f>"120180000"</f>
        <v>120180000</v>
      </c>
      <c r="F135" t="s">
        <v>130</v>
      </c>
      <c r="G135" t="s">
        <v>131</v>
      </c>
      <c r="H135" t="s">
        <v>132</v>
      </c>
      <c r="I135">
        <v>1</v>
      </c>
      <c r="J135" t="s">
        <v>25</v>
      </c>
      <c r="K135" s="1">
        <v>25654786</v>
      </c>
      <c r="L135" s="1">
        <v>22795295.280000001</v>
      </c>
      <c r="M135" s="1">
        <v>-2859490.72</v>
      </c>
      <c r="N135" s="1">
        <v>22795287.879999999</v>
      </c>
      <c r="O135">
        <v>7.4</v>
      </c>
      <c r="P135" s="1">
        <v>22795287.879999999</v>
      </c>
      <c r="Q135">
        <v>0</v>
      </c>
      <c r="R135" s="1">
        <v>22795287.879999999</v>
      </c>
      <c r="S135">
        <v>0</v>
      </c>
    </row>
    <row r="136" spans="1:19" x14ac:dyDescent="0.25">
      <c r="A136" s="3">
        <v>1001</v>
      </c>
      <c r="B136" s="4" t="s">
        <v>21</v>
      </c>
      <c r="C136" s="4" t="str">
        <f t="shared" si="7"/>
        <v>12</v>
      </c>
      <c r="D136" t="s">
        <v>107</v>
      </c>
      <c r="E136" s="3" t="str">
        <f>"120180000"</f>
        <v>120180000</v>
      </c>
      <c r="F136" t="s">
        <v>130</v>
      </c>
      <c r="G136" t="s">
        <v>131</v>
      </c>
      <c r="H136" t="s">
        <v>132</v>
      </c>
      <c r="I136">
        <v>2</v>
      </c>
      <c r="J136" t="s">
        <v>26</v>
      </c>
      <c r="K136" s="1">
        <v>510403</v>
      </c>
      <c r="L136" s="1">
        <v>199673.99</v>
      </c>
      <c r="M136" s="1">
        <v>-310729.01</v>
      </c>
      <c r="N136" s="1">
        <v>193673.99</v>
      </c>
      <c r="O136" s="1">
        <v>6000</v>
      </c>
      <c r="P136" s="1">
        <v>193673.99</v>
      </c>
      <c r="Q136">
        <v>0</v>
      </c>
      <c r="R136" s="1">
        <v>187899.69</v>
      </c>
      <c r="S136" s="1">
        <v>5774.3</v>
      </c>
    </row>
    <row r="137" spans="1:19" x14ac:dyDescent="0.25">
      <c r="A137" s="3">
        <v>1001</v>
      </c>
      <c r="B137" s="4" t="s">
        <v>21</v>
      </c>
      <c r="C137" s="4" t="str">
        <f t="shared" si="7"/>
        <v>12</v>
      </c>
      <c r="D137" t="s">
        <v>107</v>
      </c>
      <c r="E137" s="3" t="str">
        <f>"120190000"</f>
        <v>120190000</v>
      </c>
      <c r="F137" t="s">
        <v>133</v>
      </c>
      <c r="G137" t="s">
        <v>134</v>
      </c>
      <c r="H137" t="s">
        <v>135</v>
      </c>
      <c r="I137">
        <v>1</v>
      </c>
      <c r="J137" t="s">
        <v>25</v>
      </c>
      <c r="K137" s="1">
        <v>1619415</v>
      </c>
      <c r="L137" s="1">
        <v>1510443.83</v>
      </c>
      <c r="M137" s="1">
        <v>-108971.17</v>
      </c>
      <c r="N137" s="1">
        <v>1510438.3</v>
      </c>
      <c r="O137">
        <v>5.53</v>
      </c>
      <c r="P137" s="1">
        <v>1510438.3</v>
      </c>
      <c r="Q137">
        <v>0</v>
      </c>
      <c r="R137" s="1">
        <v>1510438.3</v>
      </c>
      <c r="S137">
        <v>0</v>
      </c>
    </row>
    <row r="138" spans="1:19" x14ac:dyDescent="0.25">
      <c r="A138" s="3">
        <v>1001</v>
      </c>
      <c r="B138" s="4" t="s">
        <v>21</v>
      </c>
      <c r="C138" s="4" t="str">
        <f t="shared" si="7"/>
        <v>12</v>
      </c>
      <c r="D138" t="s">
        <v>107</v>
      </c>
      <c r="E138" s="3" t="str">
        <f>"120190000"</f>
        <v>120190000</v>
      </c>
      <c r="F138" t="s">
        <v>133</v>
      </c>
      <c r="G138" t="s">
        <v>134</v>
      </c>
      <c r="H138" t="s">
        <v>135</v>
      </c>
      <c r="I138">
        <v>2</v>
      </c>
      <c r="J138" t="s">
        <v>26</v>
      </c>
      <c r="K138" s="1">
        <v>282110</v>
      </c>
      <c r="L138" s="1">
        <v>367842</v>
      </c>
      <c r="M138" s="1">
        <v>85732</v>
      </c>
      <c r="N138" s="1">
        <v>274110.14</v>
      </c>
      <c r="O138" s="1">
        <v>93731.86</v>
      </c>
      <c r="P138" s="1">
        <v>274110.14</v>
      </c>
      <c r="Q138">
        <v>0</v>
      </c>
      <c r="R138" s="1">
        <v>274109.96000000002</v>
      </c>
      <c r="S138">
        <v>0.18</v>
      </c>
    </row>
    <row r="139" spans="1:19" x14ac:dyDescent="0.25">
      <c r="A139" s="3">
        <v>1001</v>
      </c>
      <c r="B139" s="4" t="s">
        <v>21</v>
      </c>
      <c r="C139" s="4" t="str">
        <f t="shared" si="7"/>
        <v>12</v>
      </c>
      <c r="D139" t="s">
        <v>107</v>
      </c>
      <c r="E139" s="3" t="str">
        <f>"120240000"</f>
        <v>120240000</v>
      </c>
      <c r="F139" t="s">
        <v>136</v>
      </c>
      <c r="G139" t="s">
        <v>137</v>
      </c>
      <c r="H139" t="s">
        <v>138</v>
      </c>
      <c r="I139">
        <v>1</v>
      </c>
      <c r="J139" t="s">
        <v>25</v>
      </c>
      <c r="K139" s="1">
        <v>15683018</v>
      </c>
      <c r="L139" s="1">
        <v>14283629.810000001</v>
      </c>
      <c r="M139" s="1">
        <v>-1399388.19</v>
      </c>
      <c r="N139" s="1">
        <v>13955130.66</v>
      </c>
      <c r="O139" s="1">
        <v>328499.15000000002</v>
      </c>
      <c r="P139" s="1">
        <v>13955130.66</v>
      </c>
      <c r="Q139">
        <v>0</v>
      </c>
      <c r="R139" s="1">
        <v>13690521.41</v>
      </c>
      <c r="S139" s="1">
        <v>264609.25</v>
      </c>
    </row>
    <row r="140" spans="1:19" x14ac:dyDescent="0.25">
      <c r="A140" s="3">
        <v>1001</v>
      </c>
      <c r="B140" s="4" t="s">
        <v>21</v>
      </c>
      <c r="C140" s="4" t="str">
        <f t="shared" si="7"/>
        <v>12</v>
      </c>
      <c r="D140" t="s">
        <v>107</v>
      </c>
      <c r="E140" s="3" t="str">
        <f>"120240000"</f>
        <v>120240000</v>
      </c>
      <c r="F140" t="s">
        <v>136</v>
      </c>
      <c r="G140" t="s">
        <v>137</v>
      </c>
      <c r="H140" t="s">
        <v>138</v>
      </c>
      <c r="I140">
        <v>2</v>
      </c>
      <c r="J140" t="s">
        <v>26</v>
      </c>
      <c r="K140" s="1">
        <v>4732180</v>
      </c>
      <c r="L140" s="1">
        <v>9894905.1999999993</v>
      </c>
      <c r="M140" s="1">
        <v>5162725.2</v>
      </c>
      <c r="N140" s="1">
        <v>8986769.2799999993</v>
      </c>
      <c r="O140" s="1">
        <v>908135.92</v>
      </c>
      <c r="P140" s="1">
        <v>8986769.2799999993</v>
      </c>
      <c r="Q140">
        <v>0</v>
      </c>
      <c r="R140" s="1">
        <v>8901895.9199999999</v>
      </c>
      <c r="S140" s="1">
        <v>84873.36</v>
      </c>
    </row>
    <row r="141" spans="1:19" x14ac:dyDescent="0.25">
      <c r="A141" s="3">
        <v>1001</v>
      </c>
      <c r="B141" s="4" t="s">
        <v>21</v>
      </c>
      <c r="C141" s="4" t="str">
        <f t="shared" si="7"/>
        <v>12</v>
      </c>
      <c r="D141" t="s">
        <v>107</v>
      </c>
      <c r="E141" s="3" t="str">
        <f>"120240000"</f>
        <v>120240000</v>
      </c>
      <c r="F141" t="s">
        <v>136</v>
      </c>
      <c r="G141" t="s">
        <v>137</v>
      </c>
      <c r="H141" t="s">
        <v>138</v>
      </c>
      <c r="I141">
        <v>4</v>
      </c>
      <c r="J141" t="s">
        <v>36</v>
      </c>
      <c r="K141" s="1">
        <v>1192640</v>
      </c>
      <c r="L141" s="1">
        <v>1473130</v>
      </c>
      <c r="M141" s="1">
        <v>280490</v>
      </c>
      <c r="N141" s="1">
        <v>1473130</v>
      </c>
      <c r="O141">
        <v>0</v>
      </c>
      <c r="P141" s="1">
        <v>1216557.8899999999</v>
      </c>
      <c r="Q141" s="1">
        <v>256572.11</v>
      </c>
      <c r="R141" s="1">
        <v>1216557.8899999999</v>
      </c>
      <c r="S141">
        <v>0</v>
      </c>
    </row>
    <row r="142" spans="1:19" x14ac:dyDescent="0.25">
      <c r="A142" s="3">
        <v>1001</v>
      </c>
      <c r="B142" s="4" t="s">
        <v>21</v>
      </c>
      <c r="C142" s="4" t="str">
        <f t="shared" si="7"/>
        <v>12</v>
      </c>
      <c r="D142" t="s">
        <v>107</v>
      </c>
      <c r="E142" s="3" t="str">
        <f>"120240000"</f>
        <v>120240000</v>
      </c>
      <c r="F142" t="s">
        <v>136</v>
      </c>
      <c r="G142" t="s">
        <v>137</v>
      </c>
      <c r="H142" t="s">
        <v>138</v>
      </c>
      <c r="I142">
        <v>6</v>
      </c>
      <c r="J142" t="s">
        <v>32</v>
      </c>
      <c r="K142" s="1">
        <v>17650</v>
      </c>
      <c r="L142">
        <v>0</v>
      </c>
      <c r="M142" s="1">
        <v>-17650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</row>
    <row r="143" spans="1:19" x14ac:dyDescent="0.25">
      <c r="A143" s="3">
        <v>1001</v>
      </c>
      <c r="B143" s="4" t="s">
        <v>21</v>
      </c>
      <c r="C143" s="4" t="str">
        <f t="shared" si="7"/>
        <v>12</v>
      </c>
      <c r="D143" t="s">
        <v>107</v>
      </c>
      <c r="E143" s="3" t="str">
        <f>"120250000"</f>
        <v>120250000</v>
      </c>
      <c r="F143" t="s">
        <v>139</v>
      </c>
      <c r="G143" t="s">
        <v>140</v>
      </c>
      <c r="H143" t="s">
        <v>141</v>
      </c>
      <c r="I143">
        <v>1</v>
      </c>
      <c r="J143" t="s">
        <v>25</v>
      </c>
      <c r="K143" s="1">
        <v>6603598</v>
      </c>
      <c r="L143" s="1">
        <v>5595531.2699999996</v>
      </c>
      <c r="M143" s="1">
        <v>-1008066.73</v>
      </c>
      <c r="N143" s="1">
        <v>5595528.4100000001</v>
      </c>
      <c r="O143">
        <v>2.86</v>
      </c>
      <c r="P143" s="1">
        <v>5595528.4100000001</v>
      </c>
      <c r="Q143">
        <v>0</v>
      </c>
      <c r="R143" s="1">
        <v>5595528.4100000001</v>
      </c>
      <c r="S143">
        <v>0</v>
      </c>
    </row>
    <row r="144" spans="1:19" x14ac:dyDescent="0.25">
      <c r="A144" s="3">
        <v>1001</v>
      </c>
      <c r="B144" s="4" t="s">
        <v>21</v>
      </c>
      <c r="C144" s="4" t="str">
        <f t="shared" si="7"/>
        <v>12</v>
      </c>
      <c r="D144" t="s">
        <v>107</v>
      </c>
      <c r="E144" s="3" t="str">
        <f>"120250000"</f>
        <v>120250000</v>
      </c>
      <c r="F144" t="s">
        <v>139</v>
      </c>
      <c r="G144" t="s">
        <v>140</v>
      </c>
      <c r="H144" t="s">
        <v>141</v>
      </c>
      <c r="I144">
        <v>2</v>
      </c>
      <c r="J144" t="s">
        <v>26</v>
      </c>
      <c r="K144" s="1">
        <v>11241217</v>
      </c>
      <c r="L144" s="1">
        <v>14275067</v>
      </c>
      <c r="M144" s="1">
        <v>3033850</v>
      </c>
      <c r="N144" s="1">
        <v>13144386.6</v>
      </c>
      <c r="O144" s="1">
        <v>1130680.3999999999</v>
      </c>
      <c r="P144" s="1">
        <v>13144386.6</v>
      </c>
      <c r="Q144">
        <v>0</v>
      </c>
      <c r="R144" s="1">
        <v>13046207.25</v>
      </c>
      <c r="S144" s="1">
        <v>98179.35</v>
      </c>
    </row>
    <row r="145" spans="1:19" x14ac:dyDescent="0.25">
      <c r="A145" s="3">
        <v>1001</v>
      </c>
      <c r="B145" s="4" t="s">
        <v>21</v>
      </c>
      <c r="C145" s="4" t="str">
        <f t="shared" si="7"/>
        <v>12</v>
      </c>
      <c r="D145" t="s">
        <v>107</v>
      </c>
      <c r="E145" s="3" t="str">
        <f>"120250000"</f>
        <v>120250000</v>
      </c>
      <c r="F145" t="s">
        <v>139</v>
      </c>
      <c r="G145" t="s">
        <v>140</v>
      </c>
      <c r="H145" t="s">
        <v>141</v>
      </c>
      <c r="I145">
        <v>6</v>
      </c>
      <c r="J145" t="s">
        <v>32</v>
      </c>
      <c r="K145" s="1">
        <v>10001570</v>
      </c>
      <c r="L145" s="1">
        <v>6223854.29</v>
      </c>
      <c r="M145" s="1">
        <v>-3777715.71</v>
      </c>
      <c r="N145" s="1">
        <v>3266203.83</v>
      </c>
      <c r="O145" s="1">
        <v>2957650.46</v>
      </c>
      <c r="P145" s="1">
        <v>3266203.83</v>
      </c>
      <c r="Q145">
        <v>0</v>
      </c>
      <c r="R145" s="1">
        <v>2980468.93</v>
      </c>
      <c r="S145" s="1">
        <v>285734.90000000002</v>
      </c>
    </row>
    <row r="146" spans="1:19" x14ac:dyDescent="0.25">
      <c r="A146" s="3">
        <v>1001</v>
      </c>
      <c r="B146" s="4" t="s">
        <v>21</v>
      </c>
      <c r="C146" s="4" t="str">
        <f t="shared" si="7"/>
        <v>12</v>
      </c>
      <c r="D146" t="s">
        <v>107</v>
      </c>
      <c r="E146" s="3" t="str">
        <f t="shared" ref="E146:E151" si="9">"120260000"</f>
        <v>120260000</v>
      </c>
      <c r="F146" t="s">
        <v>142</v>
      </c>
      <c r="G146" t="s">
        <v>143</v>
      </c>
      <c r="H146" t="s">
        <v>144</v>
      </c>
      <c r="I146">
        <v>1</v>
      </c>
      <c r="J146" t="s">
        <v>25</v>
      </c>
      <c r="K146" s="1">
        <v>2106851</v>
      </c>
      <c r="L146" s="1">
        <v>1554748.59</v>
      </c>
      <c r="M146" s="1">
        <v>-552102.41</v>
      </c>
      <c r="N146" s="1">
        <v>1554744.72</v>
      </c>
      <c r="O146">
        <v>3.87</v>
      </c>
      <c r="P146" s="1">
        <v>1554744.72</v>
      </c>
      <c r="Q146">
        <v>0</v>
      </c>
      <c r="R146" s="1">
        <v>1554744.72</v>
      </c>
      <c r="S146">
        <v>0</v>
      </c>
    </row>
    <row r="147" spans="1:19" x14ac:dyDescent="0.25">
      <c r="A147" s="3">
        <v>1001</v>
      </c>
      <c r="B147" s="4" t="s">
        <v>21</v>
      </c>
      <c r="C147" s="4" t="str">
        <f t="shared" si="7"/>
        <v>12</v>
      </c>
      <c r="D147" t="s">
        <v>107</v>
      </c>
      <c r="E147" s="3" t="str">
        <f t="shared" si="9"/>
        <v>120260000</v>
      </c>
      <c r="F147" t="s">
        <v>142</v>
      </c>
      <c r="G147" t="s">
        <v>143</v>
      </c>
      <c r="H147" t="s">
        <v>144</v>
      </c>
      <c r="I147">
        <v>2</v>
      </c>
      <c r="J147" t="s">
        <v>26</v>
      </c>
      <c r="K147" s="1">
        <v>764650</v>
      </c>
      <c r="L147" s="1">
        <v>799650</v>
      </c>
      <c r="M147" s="1">
        <v>35000</v>
      </c>
      <c r="N147" s="1">
        <v>769639.94</v>
      </c>
      <c r="O147" s="1">
        <v>30010.06</v>
      </c>
      <c r="P147" s="1">
        <v>753144.74</v>
      </c>
      <c r="Q147" s="1">
        <v>16495.2</v>
      </c>
      <c r="R147" s="1">
        <v>712339.99</v>
      </c>
      <c r="S147" s="1">
        <v>40804.75</v>
      </c>
    </row>
    <row r="148" spans="1:19" x14ac:dyDescent="0.25">
      <c r="A148" s="3">
        <v>1001</v>
      </c>
      <c r="B148" s="4" t="s">
        <v>21</v>
      </c>
      <c r="C148" s="4" t="str">
        <f t="shared" si="7"/>
        <v>12</v>
      </c>
      <c r="D148" t="s">
        <v>107</v>
      </c>
      <c r="E148" s="3" t="str">
        <f t="shared" si="9"/>
        <v>120260000</v>
      </c>
      <c r="F148" t="s">
        <v>142</v>
      </c>
      <c r="G148" t="s">
        <v>143</v>
      </c>
      <c r="H148" t="s">
        <v>144</v>
      </c>
      <c r="I148">
        <v>4</v>
      </c>
      <c r="J148" t="s">
        <v>36</v>
      </c>
      <c r="K148" s="1">
        <v>2100000</v>
      </c>
      <c r="L148" s="1">
        <v>3600000</v>
      </c>
      <c r="M148" s="1">
        <v>1500000</v>
      </c>
      <c r="N148" s="1">
        <v>3600000</v>
      </c>
      <c r="O148">
        <v>0</v>
      </c>
      <c r="P148" s="1">
        <v>3600000</v>
      </c>
      <c r="Q148">
        <v>0</v>
      </c>
      <c r="R148" s="1">
        <v>3600000</v>
      </c>
      <c r="S148">
        <v>0</v>
      </c>
    </row>
    <row r="149" spans="1:19" x14ac:dyDescent="0.25">
      <c r="A149" s="3">
        <v>1001</v>
      </c>
      <c r="B149" s="4" t="s">
        <v>21</v>
      </c>
      <c r="C149" s="4" t="str">
        <f t="shared" si="7"/>
        <v>12</v>
      </c>
      <c r="D149" t="s">
        <v>107</v>
      </c>
      <c r="E149" s="3" t="str">
        <f t="shared" si="9"/>
        <v>120260000</v>
      </c>
      <c r="F149" t="s">
        <v>142</v>
      </c>
      <c r="G149" t="s">
        <v>145</v>
      </c>
      <c r="H149" t="s">
        <v>146</v>
      </c>
      <c r="I149">
        <v>1</v>
      </c>
      <c r="J149" t="s">
        <v>25</v>
      </c>
      <c r="K149" s="1">
        <v>2140686</v>
      </c>
      <c r="L149" s="1">
        <v>1979271.14</v>
      </c>
      <c r="M149" s="1">
        <v>-161414.85999999999</v>
      </c>
      <c r="N149" s="1">
        <v>1979267.2</v>
      </c>
      <c r="O149">
        <v>3.94</v>
      </c>
      <c r="P149" s="1">
        <v>1979267.2</v>
      </c>
      <c r="Q149">
        <v>0</v>
      </c>
      <c r="R149" s="1">
        <v>1979267.2</v>
      </c>
      <c r="S149">
        <v>0</v>
      </c>
    </row>
    <row r="150" spans="1:19" x14ac:dyDescent="0.25">
      <c r="A150" s="3">
        <v>1001</v>
      </c>
      <c r="B150" s="4" t="s">
        <v>21</v>
      </c>
      <c r="C150" s="4" t="str">
        <f t="shared" si="7"/>
        <v>12</v>
      </c>
      <c r="D150" t="s">
        <v>107</v>
      </c>
      <c r="E150" s="3" t="str">
        <f t="shared" si="9"/>
        <v>120260000</v>
      </c>
      <c r="F150" t="s">
        <v>142</v>
      </c>
      <c r="G150" t="s">
        <v>145</v>
      </c>
      <c r="H150" t="s">
        <v>146</v>
      </c>
      <c r="I150">
        <v>2</v>
      </c>
      <c r="J150" t="s">
        <v>26</v>
      </c>
      <c r="K150" s="1">
        <v>111175</v>
      </c>
      <c r="L150" s="1">
        <v>58675</v>
      </c>
      <c r="M150" s="1">
        <v>-52500</v>
      </c>
      <c r="N150" s="1">
        <v>26718.78</v>
      </c>
      <c r="O150" s="1">
        <v>31956.22</v>
      </c>
      <c r="P150" s="1">
        <v>26718.78</v>
      </c>
      <c r="Q150">
        <v>0</v>
      </c>
      <c r="R150" s="1">
        <v>26718.77</v>
      </c>
      <c r="S150">
        <v>0.01</v>
      </c>
    </row>
    <row r="151" spans="1:19" x14ac:dyDescent="0.25">
      <c r="A151" s="3">
        <v>1001</v>
      </c>
      <c r="B151" s="4" t="s">
        <v>21</v>
      </c>
      <c r="C151" s="4" t="str">
        <f t="shared" si="7"/>
        <v>12</v>
      </c>
      <c r="D151" t="s">
        <v>107</v>
      </c>
      <c r="E151" s="3" t="str">
        <f t="shared" si="9"/>
        <v>120260000</v>
      </c>
      <c r="F151" t="s">
        <v>142</v>
      </c>
      <c r="G151" t="s">
        <v>145</v>
      </c>
      <c r="H151" t="s">
        <v>146</v>
      </c>
      <c r="I151">
        <v>6</v>
      </c>
      <c r="J151" t="s">
        <v>32</v>
      </c>
      <c r="K151" s="1">
        <v>670000</v>
      </c>
      <c r="L151" s="1">
        <v>370000</v>
      </c>
      <c r="M151" s="1">
        <v>-300000</v>
      </c>
      <c r="N151" s="1">
        <v>266212.39</v>
      </c>
      <c r="O151" s="1">
        <v>103787.61</v>
      </c>
      <c r="P151" s="1">
        <v>266212.39</v>
      </c>
      <c r="Q151">
        <v>0</v>
      </c>
      <c r="R151" s="1">
        <v>258252.35</v>
      </c>
      <c r="S151" s="1">
        <v>7960.04</v>
      </c>
    </row>
    <row r="152" spans="1:19" x14ac:dyDescent="0.25">
      <c r="A152" s="3">
        <v>1001</v>
      </c>
      <c r="B152" s="4" t="s">
        <v>21</v>
      </c>
      <c r="C152" s="4" t="str">
        <f t="shared" si="7"/>
        <v>12</v>
      </c>
      <c r="D152" t="s">
        <v>107</v>
      </c>
      <c r="E152" s="3" t="str">
        <f>"120270000"</f>
        <v>120270000</v>
      </c>
      <c r="F152" t="s">
        <v>147</v>
      </c>
      <c r="G152" t="s">
        <v>148</v>
      </c>
      <c r="H152" t="s">
        <v>149</v>
      </c>
      <c r="I152">
        <v>1</v>
      </c>
      <c r="J152" t="s">
        <v>25</v>
      </c>
      <c r="K152" s="1">
        <v>4453252</v>
      </c>
      <c r="L152" s="1">
        <v>3991222.43</v>
      </c>
      <c r="M152" s="1">
        <v>-462029.57</v>
      </c>
      <c r="N152" s="1">
        <v>3991216.3</v>
      </c>
      <c r="O152">
        <v>6.13</v>
      </c>
      <c r="P152" s="1">
        <v>3991216.3</v>
      </c>
      <c r="Q152">
        <v>0</v>
      </c>
      <c r="R152" s="1">
        <v>3991216.3</v>
      </c>
      <c r="S152">
        <v>0</v>
      </c>
    </row>
    <row r="153" spans="1:19" x14ac:dyDescent="0.25">
      <c r="A153" s="3">
        <v>1001</v>
      </c>
      <c r="B153" s="4" t="s">
        <v>21</v>
      </c>
      <c r="C153" s="4" t="str">
        <f t="shared" si="7"/>
        <v>12</v>
      </c>
      <c r="D153" t="s">
        <v>107</v>
      </c>
      <c r="E153" s="3" t="str">
        <f>"120270000"</f>
        <v>120270000</v>
      </c>
      <c r="F153" t="s">
        <v>147</v>
      </c>
      <c r="G153" t="s">
        <v>148</v>
      </c>
      <c r="H153" t="s">
        <v>149</v>
      </c>
      <c r="I153">
        <v>2</v>
      </c>
      <c r="J153" t="s">
        <v>26</v>
      </c>
      <c r="K153" s="1">
        <v>2696864</v>
      </c>
      <c r="L153" s="1">
        <v>3950810.08</v>
      </c>
      <c r="M153" s="1">
        <v>1253946.08</v>
      </c>
      <c r="N153" s="1">
        <v>2320875.94</v>
      </c>
      <c r="O153" s="1">
        <v>1629934.14</v>
      </c>
      <c r="P153" s="1">
        <v>2320875.94</v>
      </c>
      <c r="Q153">
        <v>0</v>
      </c>
      <c r="R153" s="1">
        <v>2087070.25</v>
      </c>
      <c r="S153" s="1">
        <v>233805.69</v>
      </c>
    </row>
    <row r="154" spans="1:19" x14ac:dyDescent="0.25">
      <c r="A154" s="3">
        <v>1001</v>
      </c>
      <c r="B154" s="4" t="s">
        <v>21</v>
      </c>
      <c r="C154" s="4" t="str">
        <f t="shared" si="7"/>
        <v>12</v>
      </c>
      <c r="D154" t="s">
        <v>107</v>
      </c>
      <c r="E154" s="3" t="str">
        <f>"120270000"</f>
        <v>120270000</v>
      </c>
      <c r="F154" t="s">
        <v>147</v>
      </c>
      <c r="G154" t="s">
        <v>148</v>
      </c>
      <c r="H154" t="s">
        <v>149</v>
      </c>
      <c r="I154">
        <v>4</v>
      </c>
      <c r="J154" t="s">
        <v>36</v>
      </c>
      <c r="K154" s="1">
        <v>57122058</v>
      </c>
      <c r="L154" s="1">
        <v>67233332.950000003</v>
      </c>
      <c r="M154" s="1">
        <v>10111274.949999999</v>
      </c>
      <c r="N154" s="1">
        <v>55795161.109999999</v>
      </c>
      <c r="O154" s="1">
        <v>11438171.84</v>
      </c>
      <c r="P154" s="1">
        <v>54821604.939999998</v>
      </c>
      <c r="Q154" s="1">
        <v>973556.17</v>
      </c>
      <c r="R154" s="1">
        <v>50570368.549999997</v>
      </c>
      <c r="S154" s="1">
        <v>4251236.3899999997</v>
      </c>
    </row>
    <row r="155" spans="1:19" x14ac:dyDescent="0.25">
      <c r="A155" s="3">
        <v>1001</v>
      </c>
      <c r="B155" s="4" t="s">
        <v>21</v>
      </c>
      <c r="C155" s="4" t="str">
        <f t="shared" si="7"/>
        <v>12</v>
      </c>
      <c r="D155" t="s">
        <v>107</v>
      </c>
      <c r="E155" s="3" t="str">
        <f>"120270000"</f>
        <v>120270000</v>
      </c>
      <c r="F155" t="s">
        <v>147</v>
      </c>
      <c r="G155" t="s">
        <v>148</v>
      </c>
      <c r="H155" t="s">
        <v>149</v>
      </c>
      <c r="I155">
        <v>6</v>
      </c>
      <c r="J155" t="s">
        <v>32</v>
      </c>
      <c r="K155" s="1">
        <v>27000</v>
      </c>
      <c r="L155">
        <v>0</v>
      </c>
      <c r="M155" s="1">
        <v>-27000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</row>
    <row r="156" spans="1:19" x14ac:dyDescent="0.25">
      <c r="A156" s="3">
        <v>1001</v>
      </c>
      <c r="B156" s="4" t="s">
        <v>21</v>
      </c>
      <c r="C156" s="4" t="str">
        <f t="shared" si="7"/>
        <v>12</v>
      </c>
      <c r="D156" t="s">
        <v>107</v>
      </c>
      <c r="E156" s="3" t="str">
        <f>"120270000"</f>
        <v>120270000</v>
      </c>
      <c r="F156" t="s">
        <v>147</v>
      </c>
      <c r="G156" t="s">
        <v>148</v>
      </c>
      <c r="H156" t="s">
        <v>149</v>
      </c>
      <c r="I156">
        <v>7</v>
      </c>
      <c r="J156" t="s">
        <v>40</v>
      </c>
      <c r="K156" s="1">
        <v>6616000</v>
      </c>
      <c r="L156" s="1">
        <v>6698032.75</v>
      </c>
      <c r="M156" s="1">
        <v>82032.75</v>
      </c>
      <c r="N156" s="1">
        <v>4987333.7300000004</v>
      </c>
      <c r="O156" s="1">
        <v>1710699.02</v>
      </c>
      <c r="P156" s="1">
        <v>3686516.21</v>
      </c>
      <c r="Q156" s="1">
        <v>1300817.52</v>
      </c>
      <c r="R156" s="1">
        <v>3352339.5</v>
      </c>
      <c r="S156" s="1">
        <v>334176.71000000002</v>
      </c>
    </row>
    <row r="157" spans="1:19" x14ac:dyDescent="0.25">
      <c r="A157" s="3">
        <v>1001</v>
      </c>
      <c r="B157" s="4" t="s">
        <v>21</v>
      </c>
      <c r="C157" s="4" t="str">
        <f t="shared" si="7"/>
        <v>12</v>
      </c>
      <c r="D157" t="s">
        <v>107</v>
      </c>
      <c r="E157" s="3" t="str">
        <f t="shared" ref="E157:E163" si="10">"120280000"</f>
        <v>120280000</v>
      </c>
      <c r="F157" t="s">
        <v>150</v>
      </c>
      <c r="G157" t="s">
        <v>151</v>
      </c>
      <c r="H157" t="s">
        <v>152</v>
      </c>
      <c r="I157">
        <v>1</v>
      </c>
      <c r="J157" t="s">
        <v>25</v>
      </c>
      <c r="K157" s="1">
        <v>4972782</v>
      </c>
      <c r="L157" s="1">
        <v>4442395.5999999996</v>
      </c>
      <c r="M157" s="1">
        <v>-530386.4</v>
      </c>
      <c r="N157" s="1">
        <v>4442388.17</v>
      </c>
      <c r="O157">
        <v>7.43</v>
      </c>
      <c r="P157" s="1">
        <v>4442388.17</v>
      </c>
      <c r="Q157">
        <v>0</v>
      </c>
      <c r="R157" s="1">
        <v>4442388.17</v>
      </c>
      <c r="S157">
        <v>0</v>
      </c>
    </row>
    <row r="158" spans="1:19" x14ac:dyDescent="0.25">
      <c r="A158" s="3">
        <v>1001</v>
      </c>
      <c r="B158" s="4" t="s">
        <v>21</v>
      </c>
      <c r="C158" s="4" t="str">
        <f t="shared" si="7"/>
        <v>12</v>
      </c>
      <c r="D158" t="s">
        <v>107</v>
      </c>
      <c r="E158" s="3" t="str">
        <f t="shared" si="10"/>
        <v>120280000</v>
      </c>
      <c r="F158" t="s">
        <v>150</v>
      </c>
      <c r="G158" t="s">
        <v>151</v>
      </c>
      <c r="H158" t="s">
        <v>152</v>
      </c>
      <c r="I158">
        <v>2</v>
      </c>
      <c r="J158" t="s">
        <v>26</v>
      </c>
      <c r="K158" s="1">
        <v>1570251</v>
      </c>
      <c r="L158" s="1">
        <v>1826125.71</v>
      </c>
      <c r="M158" s="1">
        <v>255874.71</v>
      </c>
      <c r="N158" s="1">
        <v>1672872.97</v>
      </c>
      <c r="O158" s="1">
        <v>153252.74</v>
      </c>
      <c r="P158" s="1">
        <v>1672872.97</v>
      </c>
      <c r="Q158">
        <v>0</v>
      </c>
      <c r="R158" s="1">
        <v>1664817.43</v>
      </c>
      <c r="S158" s="1">
        <v>8055.54</v>
      </c>
    </row>
    <row r="159" spans="1:19" x14ac:dyDescent="0.25">
      <c r="A159" s="3">
        <v>1001</v>
      </c>
      <c r="B159" s="4" t="s">
        <v>21</v>
      </c>
      <c r="C159" s="4" t="str">
        <f t="shared" si="7"/>
        <v>12</v>
      </c>
      <c r="D159" t="s">
        <v>107</v>
      </c>
      <c r="E159" s="3" t="str">
        <f t="shared" si="10"/>
        <v>120280000</v>
      </c>
      <c r="F159" t="s">
        <v>150</v>
      </c>
      <c r="G159" t="s">
        <v>151</v>
      </c>
      <c r="H159" t="s">
        <v>152</v>
      </c>
      <c r="I159">
        <v>6</v>
      </c>
      <c r="J159" t="s">
        <v>32</v>
      </c>
      <c r="K159" s="1">
        <v>21000</v>
      </c>
      <c r="L159" s="1">
        <v>21000</v>
      </c>
      <c r="M159">
        <v>0</v>
      </c>
      <c r="N159">
        <v>0</v>
      </c>
      <c r="O159" s="1">
        <v>21000</v>
      </c>
      <c r="P159">
        <v>0</v>
      </c>
      <c r="Q159">
        <v>0</v>
      </c>
      <c r="R159">
        <v>0</v>
      </c>
      <c r="S159">
        <v>0</v>
      </c>
    </row>
    <row r="160" spans="1:19" x14ac:dyDescent="0.25">
      <c r="A160" s="3">
        <v>1001</v>
      </c>
      <c r="B160" s="4" t="s">
        <v>21</v>
      </c>
      <c r="C160" s="4" t="str">
        <f t="shared" si="7"/>
        <v>12</v>
      </c>
      <c r="D160" t="s">
        <v>107</v>
      </c>
      <c r="E160" s="3" t="str">
        <f t="shared" si="10"/>
        <v>120280000</v>
      </c>
      <c r="F160" t="s">
        <v>150</v>
      </c>
      <c r="G160" t="s">
        <v>153</v>
      </c>
      <c r="H160" t="s">
        <v>154</v>
      </c>
      <c r="I160">
        <v>1</v>
      </c>
      <c r="J160" t="s">
        <v>25</v>
      </c>
      <c r="K160" s="1">
        <v>711471</v>
      </c>
      <c r="L160" s="1">
        <v>663351</v>
      </c>
      <c r="M160" s="1">
        <v>-48120</v>
      </c>
      <c r="N160" s="1">
        <v>663348.09</v>
      </c>
      <c r="O160">
        <v>2.91</v>
      </c>
      <c r="P160" s="1">
        <v>663348.09</v>
      </c>
      <c r="Q160">
        <v>0</v>
      </c>
      <c r="R160" s="1">
        <v>663348.09</v>
      </c>
      <c r="S160">
        <v>0</v>
      </c>
    </row>
    <row r="161" spans="1:19" x14ac:dyDescent="0.25">
      <c r="A161" s="3">
        <v>1001</v>
      </c>
      <c r="B161" s="4" t="s">
        <v>21</v>
      </c>
      <c r="C161" s="4" t="str">
        <f t="shared" si="7"/>
        <v>12</v>
      </c>
      <c r="D161" t="s">
        <v>107</v>
      </c>
      <c r="E161" s="3" t="str">
        <f t="shared" si="10"/>
        <v>120280000</v>
      </c>
      <c r="F161" t="s">
        <v>150</v>
      </c>
      <c r="G161" t="s">
        <v>153</v>
      </c>
      <c r="H161" t="s">
        <v>154</v>
      </c>
      <c r="I161">
        <v>2</v>
      </c>
      <c r="J161" t="s">
        <v>26</v>
      </c>
      <c r="K161" s="1">
        <v>1663335</v>
      </c>
      <c r="L161" s="1">
        <v>260570.21</v>
      </c>
      <c r="M161" s="1">
        <v>-1402764.79</v>
      </c>
      <c r="N161" s="1">
        <v>225585</v>
      </c>
      <c r="O161" s="1">
        <v>34985.21</v>
      </c>
      <c r="P161" s="1">
        <v>225585</v>
      </c>
      <c r="Q161">
        <v>0</v>
      </c>
      <c r="R161" s="1">
        <v>225584.99</v>
      </c>
      <c r="S161">
        <v>0.01</v>
      </c>
    </row>
    <row r="162" spans="1:19" x14ac:dyDescent="0.25">
      <c r="A162" s="3">
        <v>1001</v>
      </c>
      <c r="B162" s="4" t="s">
        <v>21</v>
      </c>
      <c r="C162" s="4" t="str">
        <f t="shared" si="7"/>
        <v>12</v>
      </c>
      <c r="D162" t="s">
        <v>107</v>
      </c>
      <c r="E162" s="3" t="str">
        <f t="shared" si="10"/>
        <v>120280000</v>
      </c>
      <c r="F162" t="s">
        <v>150</v>
      </c>
      <c r="G162" t="s">
        <v>153</v>
      </c>
      <c r="H162" t="s">
        <v>154</v>
      </c>
      <c r="I162">
        <v>4</v>
      </c>
      <c r="J162" t="s">
        <v>36</v>
      </c>
      <c r="K162" s="1">
        <v>1000000</v>
      </c>
      <c r="L162" s="1">
        <v>35625</v>
      </c>
      <c r="M162" s="1">
        <v>-964375</v>
      </c>
      <c r="N162" s="1">
        <v>35625</v>
      </c>
      <c r="O162">
        <v>0</v>
      </c>
      <c r="P162" s="1">
        <v>35625</v>
      </c>
      <c r="Q162">
        <v>0</v>
      </c>
      <c r="R162" s="1">
        <v>35625</v>
      </c>
      <c r="S162">
        <v>0</v>
      </c>
    </row>
    <row r="163" spans="1:19" x14ac:dyDescent="0.25">
      <c r="A163" s="3">
        <v>1001</v>
      </c>
      <c r="B163" s="4" t="s">
        <v>21</v>
      </c>
      <c r="C163" s="4" t="str">
        <f t="shared" si="7"/>
        <v>12</v>
      </c>
      <c r="D163" t="s">
        <v>107</v>
      </c>
      <c r="E163" s="3" t="str">
        <f t="shared" si="10"/>
        <v>120280000</v>
      </c>
      <c r="F163" t="s">
        <v>150</v>
      </c>
      <c r="G163" t="s">
        <v>153</v>
      </c>
      <c r="H163" t="s">
        <v>154</v>
      </c>
      <c r="I163">
        <v>7</v>
      </c>
      <c r="J163" t="s">
        <v>40</v>
      </c>
      <c r="K163" s="1">
        <v>10156093</v>
      </c>
      <c r="L163" s="1">
        <v>14643619.18</v>
      </c>
      <c r="M163" s="1">
        <v>4487526.18</v>
      </c>
      <c r="N163" s="1">
        <v>9426341.4900000002</v>
      </c>
      <c r="O163" s="1">
        <v>5217277.6900000004</v>
      </c>
      <c r="P163" s="1">
        <v>8426341.4900000002</v>
      </c>
      <c r="Q163" s="1">
        <v>1000000</v>
      </c>
      <c r="R163" s="1">
        <v>8426341.4900000002</v>
      </c>
      <c r="S163">
        <v>0</v>
      </c>
    </row>
    <row r="164" spans="1:19" x14ac:dyDescent="0.25">
      <c r="A164" s="3">
        <v>1001</v>
      </c>
      <c r="B164" s="4" t="s">
        <v>21</v>
      </c>
      <c r="C164" s="4" t="str">
        <f t="shared" ref="C164:C180" si="11">"14"</f>
        <v>14</v>
      </c>
      <c r="D164" t="s">
        <v>155</v>
      </c>
      <c r="E164" s="3" t="str">
        <f>"140010000"</f>
        <v>140010000</v>
      </c>
      <c r="F164" t="s">
        <v>156</v>
      </c>
      <c r="G164" t="s">
        <v>157</v>
      </c>
      <c r="H164" t="s">
        <v>158</v>
      </c>
      <c r="I164">
        <v>1</v>
      </c>
      <c r="J164" t="s">
        <v>25</v>
      </c>
      <c r="K164" s="1">
        <v>11405331</v>
      </c>
      <c r="L164" s="1">
        <v>9646656.3300000001</v>
      </c>
      <c r="M164" s="1">
        <v>-1758674.67</v>
      </c>
      <c r="N164" s="1">
        <v>9626134.9299999997</v>
      </c>
      <c r="O164" s="1">
        <v>20521.400000000001</v>
      </c>
      <c r="P164" s="1">
        <v>9626134.9299999997</v>
      </c>
      <c r="Q164">
        <v>0</v>
      </c>
      <c r="R164" s="1">
        <v>9625206.8200000003</v>
      </c>
      <c r="S164">
        <v>928.11</v>
      </c>
    </row>
    <row r="165" spans="1:19" x14ac:dyDescent="0.25">
      <c r="A165" s="3">
        <v>1001</v>
      </c>
      <c r="B165" s="4" t="s">
        <v>21</v>
      </c>
      <c r="C165" s="4" t="str">
        <f t="shared" si="11"/>
        <v>14</v>
      </c>
      <c r="D165" t="s">
        <v>155</v>
      </c>
      <c r="E165" s="3" t="str">
        <f>"140010000"</f>
        <v>140010000</v>
      </c>
      <c r="F165" t="s">
        <v>156</v>
      </c>
      <c r="G165" t="s">
        <v>157</v>
      </c>
      <c r="H165" t="s">
        <v>158</v>
      </c>
      <c r="I165">
        <v>2</v>
      </c>
      <c r="J165" t="s">
        <v>26</v>
      </c>
      <c r="K165" s="1">
        <v>4059400</v>
      </c>
      <c r="L165" s="1">
        <v>3657026.22</v>
      </c>
      <c r="M165" s="1">
        <v>-402373.78</v>
      </c>
      <c r="N165" s="1">
        <v>2873261.67</v>
      </c>
      <c r="O165" s="1">
        <v>783764.55</v>
      </c>
      <c r="P165" s="1">
        <v>2871688.04</v>
      </c>
      <c r="Q165" s="1">
        <v>1573.63</v>
      </c>
      <c r="R165" s="1">
        <v>2578152.63</v>
      </c>
      <c r="S165" s="1">
        <v>293535.40999999997</v>
      </c>
    </row>
    <row r="166" spans="1:19" x14ac:dyDescent="0.25">
      <c r="A166" s="3">
        <v>1001</v>
      </c>
      <c r="B166" s="4" t="s">
        <v>21</v>
      </c>
      <c r="C166" s="4" t="str">
        <f t="shared" si="11"/>
        <v>14</v>
      </c>
      <c r="D166" t="s">
        <v>155</v>
      </c>
      <c r="E166" s="3" t="str">
        <f>"140010000"</f>
        <v>140010000</v>
      </c>
      <c r="F166" t="s">
        <v>156</v>
      </c>
      <c r="G166" t="s">
        <v>157</v>
      </c>
      <c r="H166" t="s">
        <v>158</v>
      </c>
      <c r="I166">
        <v>6</v>
      </c>
      <c r="J166" t="s">
        <v>32</v>
      </c>
      <c r="K166" s="1">
        <v>4460006</v>
      </c>
      <c r="L166" s="1">
        <v>2266059.67</v>
      </c>
      <c r="M166" s="1">
        <v>-2193946.33</v>
      </c>
      <c r="N166" s="1">
        <v>2075054.32</v>
      </c>
      <c r="O166" s="1">
        <v>191005.35</v>
      </c>
      <c r="P166" s="1">
        <v>2075054.32</v>
      </c>
      <c r="Q166">
        <v>0</v>
      </c>
      <c r="R166" s="1">
        <v>1745776.73</v>
      </c>
      <c r="S166" s="1">
        <v>329277.59000000003</v>
      </c>
    </row>
    <row r="167" spans="1:19" x14ac:dyDescent="0.25">
      <c r="A167" s="3">
        <v>1001</v>
      </c>
      <c r="B167" s="4" t="s">
        <v>21</v>
      </c>
      <c r="C167" s="4" t="str">
        <f t="shared" si="11"/>
        <v>14</v>
      </c>
      <c r="D167" t="s">
        <v>155</v>
      </c>
      <c r="E167" s="3" t="str">
        <f>"140010000"</f>
        <v>140010000</v>
      </c>
      <c r="F167" t="s">
        <v>156</v>
      </c>
      <c r="G167" t="s">
        <v>157</v>
      </c>
      <c r="H167" t="s">
        <v>158</v>
      </c>
      <c r="I167">
        <v>8</v>
      </c>
      <c r="J167" t="s">
        <v>27</v>
      </c>
      <c r="K167" s="1">
        <v>33670</v>
      </c>
      <c r="L167" s="1">
        <v>10400</v>
      </c>
      <c r="M167" s="1">
        <v>-23270</v>
      </c>
      <c r="N167" s="1">
        <v>10400</v>
      </c>
      <c r="O167">
        <v>0</v>
      </c>
      <c r="P167" s="1">
        <v>10400</v>
      </c>
      <c r="Q167">
        <v>0</v>
      </c>
      <c r="R167" s="1">
        <v>10400</v>
      </c>
      <c r="S167">
        <v>0</v>
      </c>
    </row>
    <row r="168" spans="1:19" x14ac:dyDescent="0.25">
      <c r="A168" s="3">
        <v>1001</v>
      </c>
      <c r="B168" s="4" t="s">
        <v>21</v>
      </c>
      <c r="C168" s="4" t="str">
        <f t="shared" si="11"/>
        <v>14</v>
      </c>
      <c r="D168" t="s">
        <v>155</v>
      </c>
      <c r="E168" s="3" t="str">
        <f>"140100000"</f>
        <v>140100000</v>
      </c>
      <c r="F168" t="s">
        <v>159</v>
      </c>
      <c r="G168" t="s">
        <v>160</v>
      </c>
      <c r="H168" t="s">
        <v>161</v>
      </c>
      <c r="I168">
        <v>1</v>
      </c>
      <c r="J168" t="s">
        <v>25</v>
      </c>
      <c r="K168" s="1">
        <v>5363638</v>
      </c>
      <c r="L168" s="1">
        <v>4406989.82</v>
      </c>
      <c r="M168" s="1">
        <v>-956648.18</v>
      </c>
      <c r="N168" s="1">
        <v>4396967.68</v>
      </c>
      <c r="O168" s="1">
        <v>10022.14</v>
      </c>
      <c r="P168" s="1">
        <v>4396967.68</v>
      </c>
      <c r="Q168">
        <v>0</v>
      </c>
      <c r="R168" s="1">
        <v>4396967.68</v>
      </c>
      <c r="S168">
        <v>0</v>
      </c>
    </row>
    <row r="169" spans="1:19" x14ac:dyDescent="0.25">
      <c r="A169" s="3">
        <v>1001</v>
      </c>
      <c r="B169" s="4" t="s">
        <v>21</v>
      </c>
      <c r="C169" s="4" t="str">
        <f t="shared" si="11"/>
        <v>14</v>
      </c>
      <c r="D169" t="s">
        <v>155</v>
      </c>
      <c r="E169" s="3" t="str">
        <f>"140100000"</f>
        <v>140100000</v>
      </c>
      <c r="F169" t="s">
        <v>159</v>
      </c>
      <c r="G169" t="s">
        <v>160</v>
      </c>
      <c r="H169" t="s">
        <v>161</v>
      </c>
      <c r="I169">
        <v>2</v>
      </c>
      <c r="J169" t="s">
        <v>26</v>
      </c>
      <c r="K169" s="1">
        <v>1017272</v>
      </c>
      <c r="L169" s="1">
        <v>718602.11</v>
      </c>
      <c r="M169" s="1">
        <v>-298669.89</v>
      </c>
      <c r="N169" s="1">
        <v>636281.97</v>
      </c>
      <c r="O169" s="1">
        <v>82320.14</v>
      </c>
      <c r="P169" s="1">
        <v>636281.97</v>
      </c>
      <c r="Q169">
        <v>0</v>
      </c>
      <c r="R169" s="1">
        <v>540158.44999999995</v>
      </c>
      <c r="S169" s="1">
        <v>96123.520000000004</v>
      </c>
    </row>
    <row r="170" spans="1:19" x14ac:dyDescent="0.25">
      <c r="A170" s="3">
        <v>1001</v>
      </c>
      <c r="B170" s="4" t="s">
        <v>21</v>
      </c>
      <c r="C170" s="4" t="str">
        <f t="shared" si="11"/>
        <v>14</v>
      </c>
      <c r="D170" t="s">
        <v>155</v>
      </c>
      <c r="E170" s="3" t="str">
        <f>"140100000"</f>
        <v>140100000</v>
      </c>
      <c r="F170" t="s">
        <v>159</v>
      </c>
      <c r="G170" t="s">
        <v>160</v>
      </c>
      <c r="H170" t="s">
        <v>161</v>
      </c>
      <c r="I170">
        <v>4</v>
      </c>
      <c r="J170" t="s">
        <v>36</v>
      </c>
      <c r="K170" s="1">
        <v>804000</v>
      </c>
      <c r="L170" s="1">
        <v>834530.43</v>
      </c>
      <c r="M170" s="1">
        <v>30530.43</v>
      </c>
      <c r="N170" s="1">
        <v>834530.43</v>
      </c>
      <c r="O170">
        <v>0</v>
      </c>
      <c r="P170" s="1">
        <v>805889.38</v>
      </c>
      <c r="Q170" s="1">
        <v>28641.05</v>
      </c>
      <c r="R170" s="1">
        <v>775358.95</v>
      </c>
      <c r="S170" s="1">
        <v>30530.43</v>
      </c>
    </row>
    <row r="171" spans="1:19" x14ac:dyDescent="0.25">
      <c r="A171" s="3">
        <v>1001</v>
      </c>
      <c r="B171" s="4" t="s">
        <v>21</v>
      </c>
      <c r="C171" s="4" t="str">
        <f t="shared" si="11"/>
        <v>14</v>
      </c>
      <c r="D171" t="s">
        <v>155</v>
      </c>
      <c r="E171" s="3" t="str">
        <f>"140100000"</f>
        <v>140100000</v>
      </c>
      <c r="F171" t="s">
        <v>159</v>
      </c>
      <c r="G171" t="s">
        <v>160</v>
      </c>
      <c r="H171" t="s">
        <v>161</v>
      </c>
      <c r="I171">
        <v>6</v>
      </c>
      <c r="J171" t="s">
        <v>32</v>
      </c>
      <c r="K171" s="1">
        <v>180000</v>
      </c>
      <c r="L171" s="1">
        <v>1498.73</v>
      </c>
      <c r="M171" s="1">
        <v>-178501.27</v>
      </c>
      <c r="N171" s="1">
        <v>1498.73</v>
      </c>
      <c r="O171">
        <v>0</v>
      </c>
      <c r="P171" s="1">
        <v>1498.73</v>
      </c>
      <c r="Q171">
        <v>0</v>
      </c>
      <c r="R171">
        <v>0</v>
      </c>
      <c r="S171" s="1">
        <v>1498.73</v>
      </c>
    </row>
    <row r="172" spans="1:19" x14ac:dyDescent="0.25">
      <c r="A172" s="3">
        <v>1001</v>
      </c>
      <c r="B172" s="4" t="s">
        <v>21</v>
      </c>
      <c r="C172" s="4" t="str">
        <f t="shared" si="11"/>
        <v>14</v>
      </c>
      <c r="D172" t="s">
        <v>155</v>
      </c>
      <c r="E172" s="3" t="str">
        <f>"140100000"</f>
        <v>140100000</v>
      </c>
      <c r="F172" t="s">
        <v>159</v>
      </c>
      <c r="G172" t="s">
        <v>160</v>
      </c>
      <c r="H172" t="s">
        <v>161</v>
      </c>
      <c r="I172">
        <v>7</v>
      </c>
      <c r="J172" t="s">
        <v>40</v>
      </c>
      <c r="K172" s="1">
        <v>14830503</v>
      </c>
      <c r="L172" s="1">
        <v>46108219.259999998</v>
      </c>
      <c r="M172" s="1">
        <v>31277716.260000002</v>
      </c>
      <c r="N172" s="1">
        <v>45438519.259999998</v>
      </c>
      <c r="O172" s="1">
        <v>669700</v>
      </c>
      <c r="P172" s="1">
        <v>32534089.600000001</v>
      </c>
      <c r="Q172" s="1">
        <v>12904429.66</v>
      </c>
      <c r="R172" s="1">
        <v>11571000</v>
      </c>
      <c r="S172" s="1">
        <v>20963089.600000001</v>
      </c>
    </row>
    <row r="173" spans="1:19" x14ac:dyDescent="0.25">
      <c r="A173" s="3">
        <v>1001</v>
      </c>
      <c r="B173" s="4" t="s">
        <v>21</v>
      </c>
      <c r="C173" s="4" t="str">
        <f t="shared" si="11"/>
        <v>14</v>
      </c>
      <c r="D173" t="s">
        <v>155</v>
      </c>
      <c r="E173" s="3" t="str">
        <f>"140120000"</f>
        <v>140120000</v>
      </c>
      <c r="F173" t="s">
        <v>162</v>
      </c>
      <c r="G173" t="s">
        <v>163</v>
      </c>
      <c r="H173" t="s">
        <v>164</v>
      </c>
      <c r="I173">
        <v>1</v>
      </c>
      <c r="J173" t="s">
        <v>25</v>
      </c>
      <c r="K173" s="1">
        <v>10773136</v>
      </c>
      <c r="L173" s="1">
        <v>8186378.6299999999</v>
      </c>
      <c r="M173" s="1">
        <v>-2586757.37</v>
      </c>
      <c r="N173" s="1">
        <v>8186369.6100000003</v>
      </c>
      <c r="O173">
        <v>9.02</v>
      </c>
      <c r="P173" s="1">
        <v>8186369.6100000003</v>
      </c>
      <c r="Q173">
        <v>0</v>
      </c>
      <c r="R173" s="1">
        <v>8186369.6100000003</v>
      </c>
      <c r="S173">
        <v>0</v>
      </c>
    </row>
    <row r="174" spans="1:19" x14ac:dyDescent="0.25">
      <c r="A174" s="3">
        <v>1001</v>
      </c>
      <c r="B174" s="4" t="s">
        <v>21</v>
      </c>
      <c r="C174" s="4" t="str">
        <f t="shared" si="11"/>
        <v>14</v>
      </c>
      <c r="D174" t="s">
        <v>155</v>
      </c>
      <c r="E174" s="3" t="str">
        <f>"140120000"</f>
        <v>140120000</v>
      </c>
      <c r="F174" t="s">
        <v>162</v>
      </c>
      <c r="G174" t="s">
        <v>163</v>
      </c>
      <c r="H174" t="s">
        <v>164</v>
      </c>
      <c r="I174">
        <v>2</v>
      </c>
      <c r="J174" t="s">
        <v>26</v>
      </c>
      <c r="K174" s="1">
        <v>4537954</v>
      </c>
      <c r="L174" s="1">
        <v>5803625.21</v>
      </c>
      <c r="M174" s="1">
        <v>1265671.21</v>
      </c>
      <c r="N174" s="1">
        <v>4672102.51</v>
      </c>
      <c r="O174" s="1">
        <v>1131522.7</v>
      </c>
      <c r="P174" s="1">
        <v>4658791.49</v>
      </c>
      <c r="Q174" s="1">
        <v>13311.02</v>
      </c>
      <c r="R174" s="1">
        <v>4276690.0599999996</v>
      </c>
      <c r="S174" s="1">
        <v>382101.43</v>
      </c>
    </row>
    <row r="175" spans="1:19" x14ac:dyDescent="0.25">
      <c r="A175" s="3">
        <v>1001</v>
      </c>
      <c r="B175" s="4" t="s">
        <v>21</v>
      </c>
      <c r="C175" s="4" t="str">
        <f t="shared" si="11"/>
        <v>14</v>
      </c>
      <c r="D175" t="s">
        <v>155</v>
      </c>
      <c r="E175" s="3" t="str">
        <f>"140120000"</f>
        <v>140120000</v>
      </c>
      <c r="F175" t="s">
        <v>162</v>
      </c>
      <c r="G175" t="s">
        <v>163</v>
      </c>
      <c r="H175" t="s">
        <v>164</v>
      </c>
      <c r="I175">
        <v>3</v>
      </c>
      <c r="J175" t="s">
        <v>39</v>
      </c>
      <c r="K175">
        <v>0</v>
      </c>
      <c r="L175" s="1">
        <v>92699.31</v>
      </c>
      <c r="M175" s="1">
        <v>92699.31</v>
      </c>
      <c r="N175" s="1">
        <v>92699.06</v>
      </c>
      <c r="O175">
        <v>0.25</v>
      </c>
      <c r="P175" s="1">
        <v>92699.06</v>
      </c>
      <c r="Q175">
        <v>0</v>
      </c>
      <c r="R175" s="1">
        <v>92699.06</v>
      </c>
      <c r="S175">
        <v>0</v>
      </c>
    </row>
    <row r="176" spans="1:19" x14ac:dyDescent="0.25">
      <c r="A176" s="3">
        <v>1001</v>
      </c>
      <c r="B176" s="4" t="s">
        <v>21</v>
      </c>
      <c r="C176" s="4" t="str">
        <f t="shared" si="11"/>
        <v>14</v>
      </c>
      <c r="D176" t="s">
        <v>155</v>
      </c>
      <c r="E176" s="3" t="str">
        <f>"140120000"</f>
        <v>140120000</v>
      </c>
      <c r="F176" t="s">
        <v>162</v>
      </c>
      <c r="G176" t="s">
        <v>163</v>
      </c>
      <c r="H176" t="s">
        <v>164</v>
      </c>
      <c r="I176">
        <v>4</v>
      </c>
      <c r="J176" t="s">
        <v>36</v>
      </c>
      <c r="K176" s="1">
        <v>109282574</v>
      </c>
      <c r="L176" s="1">
        <v>125854337.68000001</v>
      </c>
      <c r="M176" s="1">
        <v>16571763.68</v>
      </c>
      <c r="N176" s="1">
        <v>125854337.68000001</v>
      </c>
      <c r="O176">
        <v>0</v>
      </c>
      <c r="P176" s="1">
        <v>125854337.68000001</v>
      </c>
      <c r="Q176">
        <v>0</v>
      </c>
      <c r="R176" s="1">
        <v>118524633.13</v>
      </c>
      <c r="S176" s="1">
        <v>7329704.5499999998</v>
      </c>
    </row>
    <row r="177" spans="1:19" x14ac:dyDescent="0.25">
      <c r="A177" s="3">
        <v>1001</v>
      </c>
      <c r="B177" s="4" t="s">
        <v>21</v>
      </c>
      <c r="C177" s="4" t="str">
        <f t="shared" si="11"/>
        <v>14</v>
      </c>
      <c r="D177" t="s">
        <v>155</v>
      </c>
      <c r="E177" s="3" t="str">
        <f>"140120000"</f>
        <v>140120000</v>
      </c>
      <c r="F177" t="s">
        <v>162</v>
      </c>
      <c r="G177" t="s">
        <v>163</v>
      </c>
      <c r="H177" t="s">
        <v>164</v>
      </c>
      <c r="I177">
        <v>6</v>
      </c>
      <c r="J177" t="s">
        <v>32</v>
      </c>
      <c r="K177" s="1">
        <v>96295174</v>
      </c>
      <c r="L177" s="1">
        <v>79951761.280000001</v>
      </c>
      <c r="M177" s="1">
        <v>-16343412.720000001</v>
      </c>
      <c r="N177" s="1">
        <v>77914906.120000005</v>
      </c>
      <c r="O177" s="1">
        <v>2036855.16</v>
      </c>
      <c r="P177" s="1">
        <v>77910752.799999997</v>
      </c>
      <c r="Q177" s="1">
        <v>4153.32</v>
      </c>
      <c r="R177" s="1">
        <v>69746061.769999996</v>
      </c>
      <c r="S177" s="1">
        <v>8164691.0300000003</v>
      </c>
    </row>
    <row r="178" spans="1:19" x14ac:dyDescent="0.25">
      <c r="A178" s="3">
        <v>1001</v>
      </c>
      <c r="B178" s="4" t="s">
        <v>21</v>
      </c>
      <c r="C178" s="4" t="str">
        <f t="shared" si="11"/>
        <v>14</v>
      </c>
      <c r="D178" t="s">
        <v>155</v>
      </c>
      <c r="E178" s="3" t="str">
        <f>"140130000"</f>
        <v>140130000</v>
      </c>
      <c r="F178" t="s">
        <v>165</v>
      </c>
      <c r="G178" t="s">
        <v>166</v>
      </c>
      <c r="H178" t="s">
        <v>167</v>
      </c>
      <c r="I178">
        <v>1</v>
      </c>
      <c r="J178" t="s">
        <v>25</v>
      </c>
      <c r="K178" s="1">
        <v>3402219</v>
      </c>
      <c r="L178" s="1">
        <v>2747649.54</v>
      </c>
      <c r="M178" s="1">
        <v>-654569.46</v>
      </c>
      <c r="N178" s="1">
        <v>2747644.35</v>
      </c>
      <c r="O178">
        <v>5.19</v>
      </c>
      <c r="P178" s="1">
        <v>2747644.35</v>
      </c>
      <c r="Q178">
        <v>0</v>
      </c>
      <c r="R178" s="1">
        <v>2747644.35</v>
      </c>
      <c r="S178">
        <v>0</v>
      </c>
    </row>
    <row r="179" spans="1:19" x14ac:dyDescent="0.25">
      <c r="A179" s="3">
        <v>1001</v>
      </c>
      <c r="B179" s="4" t="s">
        <v>21</v>
      </c>
      <c r="C179" s="4" t="str">
        <f t="shared" si="11"/>
        <v>14</v>
      </c>
      <c r="D179" t="s">
        <v>155</v>
      </c>
      <c r="E179" s="3" t="str">
        <f>"140130000"</f>
        <v>140130000</v>
      </c>
      <c r="F179" t="s">
        <v>165</v>
      </c>
      <c r="G179" t="s">
        <v>166</v>
      </c>
      <c r="H179" t="s">
        <v>167</v>
      </c>
      <c r="I179">
        <v>2</v>
      </c>
      <c r="J179" t="s">
        <v>26</v>
      </c>
      <c r="K179" s="1">
        <v>1716871</v>
      </c>
      <c r="L179" s="1">
        <v>11448753.75</v>
      </c>
      <c r="M179" s="1">
        <v>9731882.75</v>
      </c>
      <c r="N179" s="1">
        <v>8822984.6799999997</v>
      </c>
      <c r="O179" s="1">
        <v>2625769.0699999998</v>
      </c>
      <c r="P179" s="1">
        <v>8822984.6799999997</v>
      </c>
      <c r="Q179">
        <v>0</v>
      </c>
      <c r="R179" s="1">
        <v>8439968.75</v>
      </c>
      <c r="S179" s="1">
        <v>383015.93</v>
      </c>
    </row>
    <row r="180" spans="1:19" x14ac:dyDescent="0.25">
      <c r="A180" s="3">
        <v>1001</v>
      </c>
      <c r="B180" s="4" t="s">
        <v>21</v>
      </c>
      <c r="C180" s="4" t="str">
        <f t="shared" si="11"/>
        <v>14</v>
      </c>
      <c r="D180" t="s">
        <v>155</v>
      </c>
      <c r="E180" s="3" t="str">
        <f>"140130000"</f>
        <v>140130000</v>
      </c>
      <c r="F180" t="s">
        <v>165</v>
      </c>
      <c r="G180" t="s">
        <v>166</v>
      </c>
      <c r="H180" t="s">
        <v>167</v>
      </c>
      <c r="I180">
        <v>6</v>
      </c>
      <c r="J180" t="s">
        <v>32</v>
      </c>
      <c r="K180" s="1">
        <v>149602806</v>
      </c>
      <c r="L180" s="1">
        <v>154828326.38999999</v>
      </c>
      <c r="M180" s="1">
        <v>5225520.3899999997</v>
      </c>
      <c r="N180" s="1">
        <v>122628571.45999999</v>
      </c>
      <c r="O180" s="1">
        <v>32199754.93</v>
      </c>
      <c r="P180" s="1">
        <v>122565496.23999999</v>
      </c>
      <c r="Q180" s="1">
        <v>63075.22</v>
      </c>
      <c r="R180" s="1">
        <v>74623598.329999998</v>
      </c>
      <c r="S180" s="1">
        <v>47941897.909999996</v>
      </c>
    </row>
    <row r="181" spans="1:19" x14ac:dyDescent="0.25">
      <c r="A181" s="3">
        <v>1001</v>
      </c>
      <c r="B181" s="4" t="s">
        <v>21</v>
      </c>
      <c r="C181" s="4" t="str">
        <f t="shared" ref="C181:C212" si="12">"15"</f>
        <v>15</v>
      </c>
      <c r="D181" t="s">
        <v>168</v>
      </c>
      <c r="E181" s="3" t="str">
        <f>"150010000"</f>
        <v>150010000</v>
      </c>
      <c r="F181" t="s">
        <v>169</v>
      </c>
      <c r="G181" t="s">
        <v>170</v>
      </c>
      <c r="H181" t="s">
        <v>171</v>
      </c>
      <c r="I181">
        <v>1</v>
      </c>
      <c r="J181" t="s">
        <v>25</v>
      </c>
      <c r="K181" s="1">
        <v>18537843</v>
      </c>
      <c r="L181" s="1">
        <v>15432543.810000001</v>
      </c>
      <c r="M181" s="1">
        <v>-3105299.19</v>
      </c>
      <c r="N181" s="1">
        <v>15390298.34</v>
      </c>
      <c r="O181" s="1">
        <v>42245.47</v>
      </c>
      <c r="P181" s="1">
        <v>15390298.34</v>
      </c>
      <c r="Q181">
        <v>0</v>
      </c>
      <c r="R181" s="1">
        <v>15390298.34</v>
      </c>
      <c r="S181">
        <v>0</v>
      </c>
    </row>
    <row r="182" spans="1:19" x14ac:dyDescent="0.25">
      <c r="A182" s="3">
        <v>1001</v>
      </c>
      <c r="B182" s="4" t="s">
        <v>21</v>
      </c>
      <c r="C182" s="4" t="str">
        <f t="shared" si="12"/>
        <v>15</v>
      </c>
      <c r="D182" t="s">
        <v>168</v>
      </c>
      <c r="E182" s="3" t="str">
        <f>"150010000"</f>
        <v>150010000</v>
      </c>
      <c r="F182" t="s">
        <v>169</v>
      </c>
      <c r="G182" t="s">
        <v>170</v>
      </c>
      <c r="H182" t="s">
        <v>171</v>
      </c>
      <c r="I182">
        <v>2</v>
      </c>
      <c r="J182" t="s">
        <v>26</v>
      </c>
      <c r="K182" s="1">
        <v>13283355</v>
      </c>
      <c r="L182" s="1">
        <v>12368746.960000001</v>
      </c>
      <c r="M182" s="1">
        <v>-914608.04</v>
      </c>
      <c r="N182" s="1">
        <v>11438002.439999999</v>
      </c>
      <c r="O182" s="1">
        <v>930744.52</v>
      </c>
      <c r="P182" s="1">
        <v>11438002.439999999</v>
      </c>
      <c r="Q182">
        <v>0</v>
      </c>
      <c r="R182" s="1">
        <v>11407894.09</v>
      </c>
      <c r="S182" s="1">
        <v>30108.35</v>
      </c>
    </row>
    <row r="183" spans="1:19" x14ac:dyDescent="0.25">
      <c r="A183" s="3">
        <v>1001</v>
      </c>
      <c r="B183" s="4" t="s">
        <v>21</v>
      </c>
      <c r="C183" s="4" t="str">
        <f t="shared" si="12"/>
        <v>15</v>
      </c>
      <c r="D183" t="s">
        <v>168</v>
      </c>
      <c r="E183" s="3" t="str">
        <f>"150010000"</f>
        <v>150010000</v>
      </c>
      <c r="F183" t="s">
        <v>169</v>
      </c>
      <c r="G183" t="s">
        <v>170</v>
      </c>
      <c r="H183" t="s">
        <v>171</v>
      </c>
      <c r="I183">
        <v>4</v>
      </c>
      <c r="J183" t="s">
        <v>36</v>
      </c>
      <c r="K183" s="1">
        <v>867348</v>
      </c>
      <c r="L183" s="1">
        <v>867348</v>
      </c>
      <c r="M183">
        <v>0</v>
      </c>
      <c r="N183" s="1">
        <v>867348</v>
      </c>
      <c r="O183">
        <v>0</v>
      </c>
      <c r="P183" s="1">
        <v>867348</v>
      </c>
      <c r="Q183">
        <v>0</v>
      </c>
      <c r="R183" s="1">
        <v>867348</v>
      </c>
      <c r="S183">
        <v>0</v>
      </c>
    </row>
    <row r="184" spans="1:19" x14ac:dyDescent="0.25">
      <c r="A184" s="3">
        <v>1001</v>
      </c>
      <c r="B184" s="4" t="s">
        <v>21</v>
      </c>
      <c r="C184" s="4" t="str">
        <f t="shared" si="12"/>
        <v>15</v>
      </c>
      <c r="D184" t="s">
        <v>168</v>
      </c>
      <c r="E184" s="3" t="str">
        <f>"150010000"</f>
        <v>150010000</v>
      </c>
      <c r="F184" t="s">
        <v>169</v>
      </c>
      <c r="G184" t="s">
        <v>170</v>
      </c>
      <c r="H184" t="s">
        <v>171</v>
      </c>
      <c r="I184">
        <v>6</v>
      </c>
      <c r="J184" t="s">
        <v>32</v>
      </c>
      <c r="K184" s="1">
        <v>72812</v>
      </c>
      <c r="L184" s="1">
        <v>72812</v>
      </c>
      <c r="M184">
        <v>0</v>
      </c>
      <c r="N184" s="1">
        <v>72646.97</v>
      </c>
      <c r="O184">
        <v>165.03</v>
      </c>
      <c r="P184" s="1">
        <v>72646.97</v>
      </c>
      <c r="Q184">
        <v>0</v>
      </c>
      <c r="R184" s="1">
        <v>72646.95</v>
      </c>
      <c r="S184">
        <v>0.02</v>
      </c>
    </row>
    <row r="185" spans="1:19" x14ac:dyDescent="0.25">
      <c r="A185" s="3">
        <v>1001</v>
      </c>
      <c r="B185" s="4" t="s">
        <v>21</v>
      </c>
      <c r="C185" s="4" t="str">
        <f t="shared" si="12"/>
        <v>15</v>
      </c>
      <c r="D185" t="s">
        <v>168</v>
      </c>
      <c r="E185" s="3" t="str">
        <f>"150010000"</f>
        <v>150010000</v>
      </c>
      <c r="F185" t="s">
        <v>169</v>
      </c>
      <c r="G185" t="s">
        <v>170</v>
      </c>
      <c r="H185" t="s">
        <v>171</v>
      </c>
      <c r="I185">
        <v>8</v>
      </c>
      <c r="J185" t="s">
        <v>27</v>
      </c>
      <c r="K185" s="1">
        <v>135959</v>
      </c>
      <c r="L185" s="1">
        <v>24370.74</v>
      </c>
      <c r="M185" s="1">
        <v>-111588.26</v>
      </c>
      <c r="N185" s="1">
        <v>24370.74</v>
      </c>
      <c r="O185">
        <v>0</v>
      </c>
      <c r="P185" s="1">
        <v>24370.74</v>
      </c>
      <c r="Q185">
        <v>0</v>
      </c>
      <c r="R185" s="1">
        <v>24370.74</v>
      </c>
      <c r="S185">
        <v>0</v>
      </c>
    </row>
    <row r="186" spans="1:19" x14ac:dyDescent="0.25">
      <c r="A186" s="3">
        <v>1001</v>
      </c>
      <c r="B186" s="4" t="s">
        <v>21</v>
      </c>
      <c r="C186" s="4" t="str">
        <f t="shared" si="12"/>
        <v>15</v>
      </c>
      <c r="D186" t="s">
        <v>168</v>
      </c>
      <c r="E186" s="3" t="str">
        <f>"150020000"</f>
        <v>150020000</v>
      </c>
      <c r="F186" t="s">
        <v>172</v>
      </c>
      <c r="G186" t="s">
        <v>170</v>
      </c>
      <c r="H186" t="s">
        <v>171</v>
      </c>
      <c r="I186">
        <v>1</v>
      </c>
      <c r="J186" t="s">
        <v>25</v>
      </c>
      <c r="K186" s="1">
        <v>50977982</v>
      </c>
      <c r="L186" s="1">
        <v>14161308.41</v>
      </c>
      <c r="M186" s="1">
        <v>-36816673.590000004</v>
      </c>
      <c r="N186" s="1">
        <v>14161306.58</v>
      </c>
      <c r="O186">
        <v>1.83</v>
      </c>
      <c r="P186" s="1">
        <v>14161306.58</v>
      </c>
      <c r="Q186">
        <v>0</v>
      </c>
      <c r="R186" s="1">
        <v>14161306.58</v>
      </c>
      <c r="S186">
        <v>0</v>
      </c>
    </row>
    <row r="187" spans="1:19" x14ac:dyDescent="0.25">
      <c r="A187" s="3">
        <v>1001</v>
      </c>
      <c r="B187" s="4" t="s">
        <v>21</v>
      </c>
      <c r="C187" s="4" t="str">
        <f t="shared" si="12"/>
        <v>15</v>
      </c>
      <c r="D187" t="s">
        <v>168</v>
      </c>
      <c r="E187" s="3" t="str">
        <f>"150020000"</f>
        <v>150020000</v>
      </c>
      <c r="F187" t="s">
        <v>172</v>
      </c>
      <c r="G187" t="s">
        <v>170</v>
      </c>
      <c r="H187" t="s">
        <v>171</v>
      </c>
      <c r="I187">
        <v>2</v>
      </c>
      <c r="J187" t="s">
        <v>26</v>
      </c>
      <c r="K187" s="1">
        <v>17575</v>
      </c>
      <c r="L187" s="1">
        <v>17575</v>
      </c>
      <c r="M187">
        <v>0</v>
      </c>
      <c r="N187" s="1">
        <v>15835.84</v>
      </c>
      <c r="O187" s="1">
        <v>1739.16</v>
      </c>
      <c r="P187" s="1">
        <v>15835.84</v>
      </c>
      <c r="Q187">
        <v>0</v>
      </c>
      <c r="R187" s="1">
        <v>15835.84</v>
      </c>
      <c r="S187">
        <v>0</v>
      </c>
    </row>
    <row r="188" spans="1:19" x14ac:dyDescent="0.25">
      <c r="A188" s="3">
        <v>1001</v>
      </c>
      <c r="B188" s="4" t="s">
        <v>21</v>
      </c>
      <c r="C188" s="4" t="str">
        <f t="shared" si="12"/>
        <v>15</v>
      </c>
      <c r="D188" t="s">
        <v>168</v>
      </c>
      <c r="E188" s="3" t="str">
        <f>"150100000"</f>
        <v>150100000</v>
      </c>
      <c r="F188" t="s">
        <v>173</v>
      </c>
      <c r="G188" t="s">
        <v>174</v>
      </c>
      <c r="H188" t="s">
        <v>175</v>
      </c>
      <c r="I188">
        <v>1</v>
      </c>
      <c r="J188" t="s">
        <v>25</v>
      </c>
      <c r="K188" s="1">
        <v>2686637</v>
      </c>
      <c r="L188" s="1">
        <v>2224442.04</v>
      </c>
      <c r="M188" s="1">
        <v>-462194.96</v>
      </c>
      <c r="N188" s="1">
        <v>2224435.41</v>
      </c>
      <c r="O188">
        <v>6.63</v>
      </c>
      <c r="P188" s="1">
        <v>2224435.41</v>
      </c>
      <c r="Q188">
        <v>0</v>
      </c>
      <c r="R188" s="1">
        <v>2224435.41</v>
      </c>
      <c r="S188">
        <v>0</v>
      </c>
    </row>
    <row r="189" spans="1:19" x14ac:dyDescent="0.25">
      <c r="A189" s="3">
        <v>1001</v>
      </c>
      <c r="B189" s="4" t="s">
        <v>21</v>
      </c>
      <c r="C189" s="4" t="str">
        <f t="shared" si="12"/>
        <v>15</v>
      </c>
      <c r="D189" t="s">
        <v>168</v>
      </c>
      <c r="E189" s="3" t="str">
        <f>"150100000"</f>
        <v>150100000</v>
      </c>
      <c r="F189" t="s">
        <v>173</v>
      </c>
      <c r="G189" t="s">
        <v>174</v>
      </c>
      <c r="H189" t="s">
        <v>175</v>
      </c>
      <c r="I189">
        <v>2</v>
      </c>
      <c r="J189" t="s">
        <v>26</v>
      </c>
      <c r="K189" s="1">
        <v>110903670</v>
      </c>
      <c r="L189" s="1">
        <v>109857758.97</v>
      </c>
      <c r="M189" s="1">
        <v>-1045911.03</v>
      </c>
      <c r="N189" s="1">
        <v>109110854.75</v>
      </c>
      <c r="O189" s="1">
        <v>746904.22</v>
      </c>
      <c r="P189" s="1">
        <v>109073607.41</v>
      </c>
      <c r="Q189" s="1">
        <v>37247.339999999997</v>
      </c>
      <c r="R189" s="1">
        <v>107785242.27</v>
      </c>
      <c r="S189" s="1">
        <v>1288365.1399999999</v>
      </c>
    </row>
    <row r="190" spans="1:19" x14ac:dyDescent="0.25">
      <c r="A190" s="3">
        <v>1001</v>
      </c>
      <c r="B190" s="4" t="s">
        <v>21</v>
      </c>
      <c r="C190" s="4" t="str">
        <f t="shared" si="12"/>
        <v>15</v>
      </c>
      <c r="D190" t="s">
        <v>168</v>
      </c>
      <c r="E190" s="3" t="str">
        <f>"150100000"</f>
        <v>150100000</v>
      </c>
      <c r="F190" t="s">
        <v>173</v>
      </c>
      <c r="G190" t="s">
        <v>174</v>
      </c>
      <c r="H190" t="s">
        <v>175</v>
      </c>
      <c r="I190">
        <v>4</v>
      </c>
      <c r="J190" t="s">
        <v>36</v>
      </c>
      <c r="K190" s="1">
        <v>750000</v>
      </c>
      <c r="L190" s="1">
        <v>1250000</v>
      </c>
      <c r="M190" s="1">
        <v>500000</v>
      </c>
      <c r="N190" s="1">
        <v>1250000</v>
      </c>
      <c r="O190">
        <v>0</v>
      </c>
      <c r="P190" s="1">
        <v>1250000</v>
      </c>
      <c r="Q190">
        <v>0</v>
      </c>
      <c r="R190" s="1">
        <v>1250000</v>
      </c>
      <c r="S190">
        <v>0</v>
      </c>
    </row>
    <row r="191" spans="1:19" x14ac:dyDescent="0.25">
      <c r="A191" s="3">
        <v>1001</v>
      </c>
      <c r="B191" s="4" t="s">
        <v>21</v>
      </c>
      <c r="C191" s="4" t="str">
        <f t="shared" si="12"/>
        <v>15</v>
      </c>
      <c r="D191" t="s">
        <v>168</v>
      </c>
      <c r="E191" s="3" t="str">
        <f t="shared" ref="E191:E200" si="13">"150110000"</f>
        <v>150110000</v>
      </c>
      <c r="F191" t="s">
        <v>176</v>
      </c>
      <c r="G191" t="s">
        <v>177</v>
      </c>
      <c r="H191" t="s">
        <v>178</v>
      </c>
      <c r="I191">
        <v>1</v>
      </c>
      <c r="J191" t="s">
        <v>25</v>
      </c>
      <c r="K191" s="1">
        <v>1592609</v>
      </c>
      <c r="L191" s="1">
        <v>1258978.8899999999</v>
      </c>
      <c r="M191" s="1">
        <v>-333630.11</v>
      </c>
      <c r="N191" s="1">
        <v>1258974.17</v>
      </c>
      <c r="O191">
        <v>4.72</v>
      </c>
      <c r="P191" s="1">
        <v>1258974.17</v>
      </c>
      <c r="Q191">
        <v>0</v>
      </c>
      <c r="R191" s="1">
        <v>1258974.17</v>
      </c>
      <c r="S191">
        <v>0</v>
      </c>
    </row>
    <row r="192" spans="1:19" x14ac:dyDescent="0.25">
      <c r="A192" s="3">
        <v>1001</v>
      </c>
      <c r="B192" s="4" t="s">
        <v>21</v>
      </c>
      <c r="C192" s="4" t="str">
        <f t="shared" si="12"/>
        <v>15</v>
      </c>
      <c r="D192" t="s">
        <v>168</v>
      </c>
      <c r="E192" s="3" t="str">
        <f t="shared" si="13"/>
        <v>150110000</v>
      </c>
      <c r="F192" t="s">
        <v>176</v>
      </c>
      <c r="G192" t="s">
        <v>177</v>
      </c>
      <c r="H192" t="s">
        <v>178</v>
      </c>
      <c r="I192">
        <v>2</v>
      </c>
      <c r="J192" t="s">
        <v>26</v>
      </c>
      <c r="K192" s="1">
        <v>104615124</v>
      </c>
      <c r="L192" s="1">
        <v>88307847.780000001</v>
      </c>
      <c r="M192" s="1">
        <v>-16307276.220000001</v>
      </c>
      <c r="N192" s="1">
        <v>87446023.280000001</v>
      </c>
      <c r="O192" s="1">
        <v>861824.5</v>
      </c>
      <c r="P192" s="1">
        <v>87446023.269999996</v>
      </c>
      <c r="Q192">
        <v>0.01</v>
      </c>
      <c r="R192" s="1">
        <v>86480863.409999996</v>
      </c>
      <c r="S192" s="1">
        <v>965159.86</v>
      </c>
    </row>
    <row r="193" spans="1:19" x14ac:dyDescent="0.25">
      <c r="A193" s="3">
        <v>1001</v>
      </c>
      <c r="B193" s="4" t="s">
        <v>21</v>
      </c>
      <c r="C193" s="4" t="str">
        <f t="shared" si="12"/>
        <v>15</v>
      </c>
      <c r="D193" t="s">
        <v>168</v>
      </c>
      <c r="E193" s="3" t="str">
        <f t="shared" si="13"/>
        <v>150110000</v>
      </c>
      <c r="F193" t="s">
        <v>176</v>
      </c>
      <c r="G193" t="s">
        <v>177</v>
      </c>
      <c r="H193" t="s">
        <v>178</v>
      </c>
      <c r="I193">
        <v>4</v>
      </c>
      <c r="J193" t="s">
        <v>36</v>
      </c>
      <c r="K193" s="1">
        <v>106000</v>
      </c>
      <c r="L193" s="1">
        <v>6210</v>
      </c>
      <c r="M193" s="1">
        <v>-99790</v>
      </c>
      <c r="N193" s="1">
        <v>6210</v>
      </c>
      <c r="O193">
        <v>0</v>
      </c>
      <c r="P193" s="1">
        <v>6210</v>
      </c>
      <c r="Q193">
        <v>0</v>
      </c>
      <c r="R193" s="1">
        <v>6210</v>
      </c>
      <c r="S193">
        <v>0</v>
      </c>
    </row>
    <row r="194" spans="1:19" x14ac:dyDescent="0.25">
      <c r="A194" s="3">
        <v>1001</v>
      </c>
      <c r="B194" s="4" t="s">
        <v>21</v>
      </c>
      <c r="C194" s="4" t="str">
        <f t="shared" si="12"/>
        <v>15</v>
      </c>
      <c r="D194" t="s">
        <v>168</v>
      </c>
      <c r="E194" s="3" t="str">
        <f t="shared" si="13"/>
        <v>150110000</v>
      </c>
      <c r="F194" t="s">
        <v>176</v>
      </c>
      <c r="G194" t="s">
        <v>177</v>
      </c>
      <c r="H194" t="s">
        <v>178</v>
      </c>
      <c r="I194">
        <v>6</v>
      </c>
      <c r="J194" t="s">
        <v>32</v>
      </c>
      <c r="K194">
        <v>0</v>
      </c>
      <c r="L194" s="1">
        <v>21023.119999999999</v>
      </c>
      <c r="M194" s="1">
        <v>21023.119999999999</v>
      </c>
      <c r="N194" s="1">
        <v>21023.119999999999</v>
      </c>
      <c r="O194">
        <v>0</v>
      </c>
      <c r="P194" s="1">
        <v>21023.119999999999</v>
      </c>
      <c r="Q194">
        <v>0</v>
      </c>
      <c r="R194" s="1">
        <v>21023.119999999999</v>
      </c>
      <c r="S194">
        <v>0</v>
      </c>
    </row>
    <row r="195" spans="1:19" x14ac:dyDescent="0.25">
      <c r="A195" s="3">
        <v>1001</v>
      </c>
      <c r="B195" s="4" t="s">
        <v>21</v>
      </c>
      <c r="C195" s="4" t="str">
        <f t="shared" si="12"/>
        <v>15</v>
      </c>
      <c r="D195" t="s">
        <v>168</v>
      </c>
      <c r="E195" s="3" t="str">
        <f t="shared" si="13"/>
        <v>150110000</v>
      </c>
      <c r="F195" t="s">
        <v>176</v>
      </c>
      <c r="G195" t="s">
        <v>179</v>
      </c>
      <c r="H195" t="s">
        <v>180</v>
      </c>
      <c r="I195">
        <v>1</v>
      </c>
      <c r="J195" t="s">
        <v>25</v>
      </c>
      <c r="K195" s="1">
        <v>2527142</v>
      </c>
      <c r="L195" s="1">
        <v>1768232.21</v>
      </c>
      <c r="M195" s="1">
        <v>-758909.79</v>
      </c>
      <c r="N195" s="1">
        <v>1768225.88</v>
      </c>
      <c r="O195">
        <v>6.33</v>
      </c>
      <c r="P195" s="1">
        <v>1768225.88</v>
      </c>
      <c r="Q195">
        <v>0</v>
      </c>
      <c r="R195" s="1">
        <v>1768225.88</v>
      </c>
      <c r="S195">
        <v>0</v>
      </c>
    </row>
    <row r="196" spans="1:19" x14ac:dyDescent="0.25">
      <c r="A196" s="3">
        <v>1001</v>
      </c>
      <c r="B196" s="4" t="s">
        <v>21</v>
      </c>
      <c r="C196" s="4" t="str">
        <f t="shared" si="12"/>
        <v>15</v>
      </c>
      <c r="D196" t="s">
        <v>168</v>
      </c>
      <c r="E196" s="3" t="str">
        <f t="shared" si="13"/>
        <v>150110000</v>
      </c>
      <c r="F196" t="s">
        <v>176</v>
      </c>
      <c r="G196" t="s">
        <v>179</v>
      </c>
      <c r="H196" t="s">
        <v>180</v>
      </c>
      <c r="I196">
        <v>2</v>
      </c>
      <c r="J196" t="s">
        <v>26</v>
      </c>
      <c r="K196" s="1">
        <v>10124921</v>
      </c>
      <c r="L196" s="1">
        <v>8073763.9699999997</v>
      </c>
      <c r="M196" s="1">
        <v>-2051157.03</v>
      </c>
      <c r="N196" s="1">
        <v>8057717.4299999997</v>
      </c>
      <c r="O196" s="1">
        <v>16046.54</v>
      </c>
      <c r="P196" s="1">
        <v>8057717.4299999997</v>
      </c>
      <c r="Q196">
        <v>0</v>
      </c>
      <c r="R196" s="1">
        <v>8016271.7699999996</v>
      </c>
      <c r="S196" s="1">
        <v>41445.660000000003</v>
      </c>
    </row>
    <row r="197" spans="1:19" x14ac:dyDescent="0.25">
      <c r="A197" s="3">
        <v>1001</v>
      </c>
      <c r="B197" s="4" t="s">
        <v>21</v>
      </c>
      <c r="C197" s="4" t="str">
        <f t="shared" si="12"/>
        <v>15</v>
      </c>
      <c r="D197" t="s">
        <v>168</v>
      </c>
      <c r="E197" s="3" t="str">
        <f t="shared" si="13"/>
        <v>150110000</v>
      </c>
      <c r="F197" t="s">
        <v>176</v>
      </c>
      <c r="G197" t="s">
        <v>179</v>
      </c>
      <c r="H197" t="s">
        <v>180</v>
      </c>
      <c r="I197">
        <v>4</v>
      </c>
      <c r="J197" t="s">
        <v>36</v>
      </c>
      <c r="K197" s="1">
        <v>169960</v>
      </c>
      <c r="L197" s="1">
        <v>352744</v>
      </c>
      <c r="M197" s="1">
        <v>182784</v>
      </c>
      <c r="N197" s="1">
        <v>352388.01</v>
      </c>
      <c r="O197">
        <v>355.99</v>
      </c>
      <c r="P197" s="1">
        <v>200563.43</v>
      </c>
      <c r="Q197" s="1">
        <v>151824.57999999999</v>
      </c>
      <c r="R197" s="1">
        <v>169604.01</v>
      </c>
      <c r="S197" s="1">
        <v>30959.42</v>
      </c>
    </row>
    <row r="198" spans="1:19" x14ac:dyDescent="0.25">
      <c r="A198" s="3">
        <v>1001</v>
      </c>
      <c r="B198" s="4" t="s">
        <v>21</v>
      </c>
      <c r="C198" s="4" t="str">
        <f t="shared" si="12"/>
        <v>15</v>
      </c>
      <c r="D198" t="s">
        <v>168</v>
      </c>
      <c r="E198" s="3" t="str">
        <f t="shared" si="13"/>
        <v>150110000</v>
      </c>
      <c r="F198" t="s">
        <v>176</v>
      </c>
      <c r="G198" t="s">
        <v>181</v>
      </c>
      <c r="H198" t="s">
        <v>182</v>
      </c>
      <c r="I198">
        <v>2</v>
      </c>
      <c r="J198" t="s">
        <v>26</v>
      </c>
      <c r="K198" s="1">
        <v>41358630</v>
      </c>
      <c r="L198" s="1">
        <v>41887604.049999997</v>
      </c>
      <c r="M198" s="1">
        <v>528974.05000000005</v>
      </c>
      <c r="N198" s="1">
        <v>35283699.770000003</v>
      </c>
      <c r="O198" s="1">
        <v>6603904.2800000003</v>
      </c>
      <c r="P198" s="1">
        <v>35283699.770000003</v>
      </c>
      <c r="Q198">
        <v>0</v>
      </c>
      <c r="R198" s="1">
        <v>35239343.740000002</v>
      </c>
      <c r="S198" s="1">
        <v>44356.03</v>
      </c>
    </row>
    <row r="199" spans="1:19" x14ac:dyDescent="0.25">
      <c r="A199" s="3">
        <v>1001</v>
      </c>
      <c r="B199" s="4" t="s">
        <v>21</v>
      </c>
      <c r="C199" s="4" t="str">
        <f t="shared" si="12"/>
        <v>15</v>
      </c>
      <c r="D199" t="s">
        <v>168</v>
      </c>
      <c r="E199" s="3" t="str">
        <f t="shared" si="13"/>
        <v>150110000</v>
      </c>
      <c r="F199" t="s">
        <v>176</v>
      </c>
      <c r="G199" t="s">
        <v>181</v>
      </c>
      <c r="H199" t="s">
        <v>182</v>
      </c>
      <c r="I199">
        <v>3</v>
      </c>
      <c r="J199" t="s">
        <v>39</v>
      </c>
      <c r="K199">
        <v>0</v>
      </c>
      <c r="L199" s="1">
        <v>171000</v>
      </c>
      <c r="M199" s="1">
        <v>171000</v>
      </c>
      <c r="N199" s="1">
        <v>132178.57999999999</v>
      </c>
      <c r="O199" s="1">
        <v>38821.42</v>
      </c>
      <c r="P199" s="1">
        <v>132178.57999999999</v>
      </c>
      <c r="Q199">
        <v>0</v>
      </c>
      <c r="R199" s="1">
        <v>132178.57999999999</v>
      </c>
      <c r="S199">
        <v>0</v>
      </c>
    </row>
    <row r="200" spans="1:19" x14ac:dyDescent="0.25">
      <c r="A200" s="3">
        <v>1001</v>
      </c>
      <c r="B200" s="4" t="s">
        <v>21</v>
      </c>
      <c r="C200" s="4" t="str">
        <f t="shared" si="12"/>
        <v>15</v>
      </c>
      <c r="D200" t="s">
        <v>168</v>
      </c>
      <c r="E200" s="3" t="str">
        <f t="shared" si="13"/>
        <v>150110000</v>
      </c>
      <c r="F200" t="s">
        <v>176</v>
      </c>
      <c r="G200" t="s">
        <v>181</v>
      </c>
      <c r="H200" t="s">
        <v>182</v>
      </c>
      <c r="I200">
        <v>4</v>
      </c>
      <c r="J200" t="s">
        <v>36</v>
      </c>
      <c r="K200" s="1">
        <v>133663</v>
      </c>
      <c r="L200" s="1">
        <v>133663</v>
      </c>
      <c r="M200">
        <v>0</v>
      </c>
      <c r="N200" s="1">
        <v>133663</v>
      </c>
      <c r="O200">
        <v>0</v>
      </c>
      <c r="P200" s="1">
        <v>133663</v>
      </c>
      <c r="Q200">
        <v>0</v>
      </c>
      <c r="R200" s="1">
        <v>133663</v>
      </c>
      <c r="S200">
        <v>0</v>
      </c>
    </row>
    <row r="201" spans="1:19" x14ac:dyDescent="0.25">
      <c r="A201" s="3">
        <v>1001</v>
      </c>
      <c r="B201" s="4" t="s">
        <v>21</v>
      </c>
      <c r="C201" s="4" t="str">
        <f t="shared" si="12"/>
        <v>15</v>
      </c>
      <c r="D201" t="s">
        <v>168</v>
      </c>
      <c r="E201" s="3" t="str">
        <f>"150120000"</f>
        <v>150120000</v>
      </c>
      <c r="F201" t="s">
        <v>183</v>
      </c>
      <c r="G201" t="s">
        <v>184</v>
      </c>
      <c r="H201" t="s">
        <v>185</v>
      </c>
      <c r="I201">
        <v>1</v>
      </c>
      <c r="J201" t="s">
        <v>25</v>
      </c>
      <c r="K201" s="1">
        <v>3328634</v>
      </c>
      <c r="L201" s="1">
        <v>2704826</v>
      </c>
      <c r="M201" s="1">
        <v>-623808</v>
      </c>
      <c r="N201" s="1">
        <v>2704820.72</v>
      </c>
      <c r="O201">
        <v>5.28</v>
      </c>
      <c r="P201" s="1">
        <v>2704820.72</v>
      </c>
      <c r="Q201">
        <v>0</v>
      </c>
      <c r="R201" s="1">
        <v>2704820.72</v>
      </c>
      <c r="S201">
        <v>0</v>
      </c>
    </row>
    <row r="202" spans="1:19" x14ac:dyDescent="0.25">
      <c r="A202" s="3">
        <v>1001</v>
      </c>
      <c r="B202" s="4" t="s">
        <v>21</v>
      </c>
      <c r="C202" s="4" t="str">
        <f t="shared" si="12"/>
        <v>15</v>
      </c>
      <c r="D202" t="s">
        <v>168</v>
      </c>
      <c r="E202" s="3" t="str">
        <f>"150120000"</f>
        <v>150120000</v>
      </c>
      <c r="F202" t="s">
        <v>183</v>
      </c>
      <c r="G202" t="s">
        <v>184</v>
      </c>
      <c r="H202" t="s">
        <v>185</v>
      </c>
      <c r="I202">
        <v>2</v>
      </c>
      <c r="J202" t="s">
        <v>26</v>
      </c>
      <c r="K202" s="1">
        <v>1126200</v>
      </c>
      <c r="L202" s="1">
        <v>43613313.600000001</v>
      </c>
      <c r="M202" s="1">
        <v>42487113.600000001</v>
      </c>
      <c r="N202" s="1">
        <v>43557874.009999998</v>
      </c>
      <c r="O202" s="1">
        <v>55439.59</v>
      </c>
      <c r="P202" s="1">
        <v>43557874.009999998</v>
      </c>
      <c r="Q202">
        <v>0</v>
      </c>
      <c r="R202" s="1">
        <v>43549024.740000002</v>
      </c>
      <c r="S202" s="1">
        <v>8849.27</v>
      </c>
    </row>
    <row r="203" spans="1:19" x14ac:dyDescent="0.25">
      <c r="A203" s="3">
        <v>1001</v>
      </c>
      <c r="B203" s="4" t="s">
        <v>21</v>
      </c>
      <c r="C203" s="4" t="str">
        <f t="shared" si="12"/>
        <v>15</v>
      </c>
      <c r="D203" t="s">
        <v>168</v>
      </c>
      <c r="E203" s="3" t="str">
        <f>"150120000"</f>
        <v>150120000</v>
      </c>
      <c r="F203" t="s">
        <v>183</v>
      </c>
      <c r="G203" t="s">
        <v>184</v>
      </c>
      <c r="H203" t="s">
        <v>185</v>
      </c>
      <c r="I203">
        <v>4</v>
      </c>
      <c r="J203" t="s">
        <v>36</v>
      </c>
      <c r="K203" s="1">
        <v>1348041136</v>
      </c>
      <c r="L203" s="1">
        <v>1464622231.47</v>
      </c>
      <c r="M203" s="1">
        <v>116581095.47</v>
      </c>
      <c r="N203" s="1">
        <v>1463868247.0799999</v>
      </c>
      <c r="O203" s="1">
        <v>753984.39</v>
      </c>
      <c r="P203" s="1">
        <v>1461091179.1300001</v>
      </c>
      <c r="Q203" s="1">
        <v>2777067.95</v>
      </c>
      <c r="R203" s="1">
        <v>1461066418.9300001</v>
      </c>
      <c r="S203" s="1">
        <v>24760.2</v>
      </c>
    </row>
    <row r="204" spans="1:19" x14ac:dyDescent="0.25">
      <c r="A204" s="3">
        <v>1001</v>
      </c>
      <c r="B204" s="4" t="s">
        <v>21</v>
      </c>
      <c r="C204" s="4" t="str">
        <f t="shared" si="12"/>
        <v>15</v>
      </c>
      <c r="D204" t="s">
        <v>168</v>
      </c>
      <c r="E204" s="3" t="str">
        <f>"150140000"</f>
        <v>150140000</v>
      </c>
      <c r="F204" t="s">
        <v>186</v>
      </c>
      <c r="G204" t="s">
        <v>187</v>
      </c>
      <c r="H204" t="s">
        <v>188</v>
      </c>
      <c r="I204">
        <v>1</v>
      </c>
      <c r="J204" t="s">
        <v>25</v>
      </c>
      <c r="K204" s="1">
        <v>2251908</v>
      </c>
      <c r="L204" s="1">
        <v>1908048.2</v>
      </c>
      <c r="M204" s="1">
        <v>-343859.8</v>
      </c>
      <c r="N204" s="1">
        <v>1908041.53</v>
      </c>
      <c r="O204">
        <v>6.67</v>
      </c>
      <c r="P204" s="1">
        <v>1908041.53</v>
      </c>
      <c r="Q204">
        <v>0</v>
      </c>
      <c r="R204" s="1">
        <v>1908041.53</v>
      </c>
      <c r="S204">
        <v>0</v>
      </c>
    </row>
    <row r="205" spans="1:19" x14ac:dyDescent="0.25">
      <c r="A205" s="3">
        <v>1001</v>
      </c>
      <c r="B205" s="4" t="s">
        <v>21</v>
      </c>
      <c r="C205" s="4" t="str">
        <f t="shared" si="12"/>
        <v>15</v>
      </c>
      <c r="D205" t="s">
        <v>168</v>
      </c>
      <c r="E205" s="3" t="str">
        <f>"150140000"</f>
        <v>150140000</v>
      </c>
      <c r="F205" t="s">
        <v>186</v>
      </c>
      <c r="G205" t="s">
        <v>187</v>
      </c>
      <c r="H205" t="s">
        <v>188</v>
      </c>
      <c r="I205">
        <v>2</v>
      </c>
      <c r="J205" t="s">
        <v>26</v>
      </c>
      <c r="K205" s="1">
        <v>3047499</v>
      </c>
      <c r="L205" s="1">
        <v>3047499</v>
      </c>
      <c r="M205">
        <v>0</v>
      </c>
      <c r="N205" s="1">
        <v>2779633.52</v>
      </c>
      <c r="O205" s="1">
        <v>267865.48</v>
      </c>
      <c r="P205" s="1">
        <v>2779633.52</v>
      </c>
      <c r="Q205">
        <v>0</v>
      </c>
      <c r="R205" s="1">
        <v>2765170.95</v>
      </c>
      <c r="S205" s="1">
        <v>14462.57</v>
      </c>
    </row>
    <row r="206" spans="1:19" x14ac:dyDescent="0.25">
      <c r="A206" s="3">
        <v>1001</v>
      </c>
      <c r="B206" s="4" t="s">
        <v>21</v>
      </c>
      <c r="C206" s="4" t="str">
        <f t="shared" si="12"/>
        <v>15</v>
      </c>
      <c r="D206" t="s">
        <v>168</v>
      </c>
      <c r="E206" s="3" t="str">
        <f>"150140000"</f>
        <v>150140000</v>
      </c>
      <c r="F206" t="s">
        <v>186</v>
      </c>
      <c r="G206" t="s">
        <v>187</v>
      </c>
      <c r="H206" t="s">
        <v>188</v>
      </c>
      <c r="I206">
        <v>4</v>
      </c>
      <c r="J206" t="s">
        <v>36</v>
      </c>
      <c r="K206" s="1">
        <v>1021795630</v>
      </c>
      <c r="L206" s="1">
        <v>1133710560.8</v>
      </c>
      <c r="M206" s="1">
        <v>111914930.8</v>
      </c>
      <c r="N206" s="1">
        <v>1133557734.8</v>
      </c>
      <c r="O206" s="1">
        <v>152826</v>
      </c>
      <c r="P206" s="1">
        <v>1133552420.8</v>
      </c>
      <c r="Q206" s="1">
        <v>5314</v>
      </c>
      <c r="R206" s="1">
        <v>1133552420.8</v>
      </c>
      <c r="S206">
        <v>0</v>
      </c>
    </row>
    <row r="207" spans="1:19" x14ac:dyDescent="0.25">
      <c r="A207" s="3">
        <v>1001</v>
      </c>
      <c r="B207" s="4" t="s">
        <v>21</v>
      </c>
      <c r="C207" s="4" t="str">
        <f t="shared" si="12"/>
        <v>15</v>
      </c>
      <c r="D207" t="s">
        <v>168</v>
      </c>
      <c r="E207" s="3" t="str">
        <f>"150140000"</f>
        <v>150140000</v>
      </c>
      <c r="F207" t="s">
        <v>186</v>
      </c>
      <c r="G207" t="s">
        <v>187</v>
      </c>
      <c r="H207" t="s">
        <v>188</v>
      </c>
      <c r="I207">
        <v>7</v>
      </c>
      <c r="J207" t="s">
        <v>40</v>
      </c>
      <c r="K207" s="1">
        <v>28295767</v>
      </c>
      <c r="L207" s="1">
        <v>20389013</v>
      </c>
      <c r="M207" s="1">
        <v>-7906754</v>
      </c>
      <c r="N207" s="1">
        <v>20389012.02</v>
      </c>
      <c r="O207">
        <v>0.98</v>
      </c>
      <c r="P207" s="1">
        <v>20389012.02</v>
      </c>
      <c r="Q207">
        <v>0</v>
      </c>
      <c r="R207" s="1">
        <v>20389012.02</v>
      </c>
      <c r="S207">
        <v>0</v>
      </c>
    </row>
    <row r="208" spans="1:19" x14ac:dyDescent="0.25">
      <c r="A208" s="3">
        <v>1001</v>
      </c>
      <c r="B208" s="4" t="s">
        <v>21</v>
      </c>
      <c r="C208" s="4" t="str">
        <f t="shared" si="12"/>
        <v>15</v>
      </c>
      <c r="D208" t="s">
        <v>168</v>
      </c>
      <c r="E208" s="3" t="str">
        <f t="shared" ref="E208:E213" si="14">"150150000"</f>
        <v>150150000</v>
      </c>
      <c r="F208" t="s">
        <v>189</v>
      </c>
      <c r="G208" t="s">
        <v>190</v>
      </c>
      <c r="H208" t="s">
        <v>191</v>
      </c>
      <c r="I208">
        <v>1</v>
      </c>
      <c r="J208" t="s">
        <v>25</v>
      </c>
      <c r="K208" s="1">
        <v>4933132</v>
      </c>
      <c r="L208" s="1">
        <v>3765734.54</v>
      </c>
      <c r="M208" s="1">
        <v>-1167397.46</v>
      </c>
      <c r="N208" s="1">
        <v>3765727.16</v>
      </c>
      <c r="O208">
        <v>7.38</v>
      </c>
      <c r="P208" s="1">
        <v>3765727.16</v>
      </c>
      <c r="Q208">
        <v>0</v>
      </c>
      <c r="R208" s="1">
        <v>3765727.16</v>
      </c>
      <c r="S208">
        <v>0</v>
      </c>
    </row>
    <row r="209" spans="1:19" x14ac:dyDescent="0.25">
      <c r="A209" s="3">
        <v>1001</v>
      </c>
      <c r="B209" s="4" t="s">
        <v>21</v>
      </c>
      <c r="C209" s="4" t="str">
        <f t="shared" si="12"/>
        <v>15</v>
      </c>
      <c r="D209" t="s">
        <v>168</v>
      </c>
      <c r="E209" s="3" t="str">
        <f t="shared" si="14"/>
        <v>150150000</v>
      </c>
      <c r="F209" t="s">
        <v>189</v>
      </c>
      <c r="G209" t="s">
        <v>190</v>
      </c>
      <c r="H209" t="s">
        <v>191</v>
      </c>
      <c r="I209">
        <v>2</v>
      </c>
      <c r="J209" t="s">
        <v>26</v>
      </c>
      <c r="K209" s="1">
        <v>870865</v>
      </c>
      <c r="L209" s="1">
        <v>890865</v>
      </c>
      <c r="M209" s="1">
        <v>20000</v>
      </c>
      <c r="N209" s="1">
        <v>620995.31999999995</v>
      </c>
      <c r="O209" s="1">
        <v>269869.68</v>
      </c>
      <c r="P209" s="1">
        <v>620995.31999999995</v>
      </c>
      <c r="Q209">
        <v>0</v>
      </c>
      <c r="R209" s="1">
        <v>461361.73</v>
      </c>
      <c r="S209" s="1">
        <v>159633.59</v>
      </c>
    </row>
    <row r="210" spans="1:19" x14ac:dyDescent="0.25">
      <c r="A210" s="3">
        <v>1001</v>
      </c>
      <c r="B210" s="4" t="s">
        <v>21</v>
      </c>
      <c r="C210" s="4" t="str">
        <f t="shared" si="12"/>
        <v>15</v>
      </c>
      <c r="D210" t="s">
        <v>168</v>
      </c>
      <c r="E210" s="3" t="str">
        <f t="shared" si="14"/>
        <v>150150000</v>
      </c>
      <c r="F210" t="s">
        <v>189</v>
      </c>
      <c r="G210" t="s">
        <v>190</v>
      </c>
      <c r="H210" t="s">
        <v>191</v>
      </c>
      <c r="I210">
        <v>3</v>
      </c>
      <c r="J210" t="s">
        <v>39</v>
      </c>
      <c r="K210" s="1">
        <v>300000</v>
      </c>
      <c r="L210" s="1">
        <v>80000</v>
      </c>
      <c r="M210" s="1">
        <v>-220000</v>
      </c>
      <c r="N210" s="1">
        <v>26387.51</v>
      </c>
      <c r="O210" s="1">
        <v>53612.49</v>
      </c>
      <c r="P210" s="1">
        <v>26387.51</v>
      </c>
      <c r="Q210">
        <v>0</v>
      </c>
      <c r="R210" s="1">
        <v>26387.51</v>
      </c>
      <c r="S210">
        <v>0</v>
      </c>
    </row>
    <row r="211" spans="1:19" x14ac:dyDescent="0.25">
      <c r="A211" s="3">
        <v>1001</v>
      </c>
      <c r="B211" s="4" t="s">
        <v>21</v>
      </c>
      <c r="C211" s="4" t="str">
        <f t="shared" si="12"/>
        <v>15</v>
      </c>
      <c r="D211" t="s">
        <v>168</v>
      </c>
      <c r="E211" s="3" t="str">
        <f t="shared" si="14"/>
        <v>150150000</v>
      </c>
      <c r="F211" t="s">
        <v>189</v>
      </c>
      <c r="G211" t="s">
        <v>190</v>
      </c>
      <c r="H211" t="s">
        <v>191</v>
      </c>
      <c r="I211">
        <v>6</v>
      </c>
      <c r="J211" t="s">
        <v>32</v>
      </c>
      <c r="K211" s="1">
        <v>207311460</v>
      </c>
      <c r="L211" s="1">
        <v>238023654.77000001</v>
      </c>
      <c r="M211" s="1">
        <v>30712194.77</v>
      </c>
      <c r="N211" s="1">
        <v>171813161.72999999</v>
      </c>
      <c r="O211" s="1">
        <v>66210493.039999999</v>
      </c>
      <c r="P211" s="1">
        <v>171472861.16999999</v>
      </c>
      <c r="Q211" s="1">
        <v>340300.56</v>
      </c>
      <c r="R211" s="1">
        <v>136009868.55000001</v>
      </c>
      <c r="S211" s="1">
        <v>35462992.619999997</v>
      </c>
    </row>
    <row r="212" spans="1:19" x14ac:dyDescent="0.25">
      <c r="A212" s="3">
        <v>1001</v>
      </c>
      <c r="B212" s="4" t="s">
        <v>21</v>
      </c>
      <c r="C212" s="4" t="str">
        <f t="shared" si="12"/>
        <v>15</v>
      </c>
      <c r="D212" t="s">
        <v>168</v>
      </c>
      <c r="E212" s="3" t="str">
        <f t="shared" si="14"/>
        <v>150150000</v>
      </c>
      <c r="F212" t="s">
        <v>189</v>
      </c>
      <c r="G212" t="s">
        <v>190</v>
      </c>
      <c r="H212" t="s">
        <v>191</v>
      </c>
      <c r="I212">
        <v>7</v>
      </c>
      <c r="J212" t="s">
        <v>40</v>
      </c>
      <c r="K212" s="1">
        <v>2234562</v>
      </c>
      <c r="L212" s="1">
        <v>38113.919999999998</v>
      </c>
      <c r="M212" s="1">
        <v>-2196448.08</v>
      </c>
      <c r="N212">
        <v>0</v>
      </c>
      <c r="O212" s="1">
        <v>38113.919999999998</v>
      </c>
      <c r="P212">
        <v>0</v>
      </c>
      <c r="Q212">
        <v>0</v>
      </c>
      <c r="R212">
        <v>0</v>
      </c>
      <c r="S212">
        <v>0</v>
      </c>
    </row>
    <row r="213" spans="1:19" x14ac:dyDescent="0.25">
      <c r="A213" s="3">
        <v>1001</v>
      </c>
      <c r="B213" s="4" t="s">
        <v>21</v>
      </c>
      <c r="C213" s="4" t="str">
        <f t="shared" ref="C213:C233" si="15">"15"</f>
        <v>15</v>
      </c>
      <c r="D213" t="s">
        <v>168</v>
      </c>
      <c r="E213" s="3" t="str">
        <f t="shared" si="14"/>
        <v>150150000</v>
      </c>
      <c r="F213" t="s">
        <v>189</v>
      </c>
      <c r="G213" t="s">
        <v>192</v>
      </c>
      <c r="H213" t="s">
        <v>193</v>
      </c>
      <c r="I213">
        <v>2</v>
      </c>
      <c r="J213" t="s">
        <v>26</v>
      </c>
      <c r="K213" s="1">
        <v>25501512</v>
      </c>
      <c r="L213" s="1">
        <v>27401512</v>
      </c>
      <c r="M213" s="1">
        <v>1900000</v>
      </c>
      <c r="N213" s="1">
        <v>26981258.600000001</v>
      </c>
      <c r="O213" s="1">
        <v>420253.4</v>
      </c>
      <c r="P213" s="1">
        <v>26981258.600000001</v>
      </c>
      <c r="Q213">
        <v>0</v>
      </c>
      <c r="R213" s="1">
        <v>26513260.699999999</v>
      </c>
      <c r="S213" s="1">
        <v>467997.9</v>
      </c>
    </row>
    <row r="214" spans="1:19" x14ac:dyDescent="0.25">
      <c r="A214" s="3">
        <v>1001</v>
      </c>
      <c r="B214" s="4" t="s">
        <v>21</v>
      </c>
      <c r="C214" s="4" t="str">
        <f t="shared" si="15"/>
        <v>15</v>
      </c>
      <c r="D214" t="s">
        <v>168</v>
      </c>
      <c r="E214" s="3" t="str">
        <f t="shared" ref="E214:E222" si="16">"150160000"</f>
        <v>150160000</v>
      </c>
      <c r="F214" t="s">
        <v>116</v>
      </c>
      <c r="G214" t="s">
        <v>170</v>
      </c>
      <c r="H214" t="s">
        <v>171</v>
      </c>
      <c r="I214">
        <v>1</v>
      </c>
      <c r="J214" t="s">
        <v>25</v>
      </c>
      <c r="K214" s="1">
        <v>29360261</v>
      </c>
      <c r="L214" s="1">
        <v>24610512.949999999</v>
      </c>
      <c r="M214" s="1">
        <v>-4749748.05</v>
      </c>
      <c r="N214" s="1">
        <v>24610503.210000001</v>
      </c>
      <c r="O214">
        <v>9.74</v>
      </c>
      <c r="P214" s="1">
        <v>24610503.210000001</v>
      </c>
      <c r="Q214">
        <v>0</v>
      </c>
      <c r="R214" s="1">
        <v>24610502.390000001</v>
      </c>
      <c r="S214">
        <v>0.82</v>
      </c>
    </row>
    <row r="215" spans="1:19" x14ac:dyDescent="0.25">
      <c r="A215" s="3">
        <v>1001</v>
      </c>
      <c r="B215" s="4" t="s">
        <v>21</v>
      </c>
      <c r="C215" s="4" t="str">
        <f t="shared" si="15"/>
        <v>15</v>
      </c>
      <c r="D215" t="s">
        <v>168</v>
      </c>
      <c r="E215" s="3" t="str">
        <f t="shared" si="16"/>
        <v>150160000</v>
      </c>
      <c r="F215" t="s">
        <v>116</v>
      </c>
      <c r="G215" t="s">
        <v>170</v>
      </c>
      <c r="H215" t="s">
        <v>171</v>
      </c>
      <c r="I215">
        <v>2</v>
      </c>
      <c r="J215" t="s">
        <v>26</v>
      </c>
      <c r="K215" s="1">
        <v>5582878</v>
      </c>
      <c r="L215" s="1">
        <v>9267341</v>
      </c>
      <c r="M215" s="1">
        <v>3684463</v>
      </c>
      <c r="N215" s="1">
        <v>7980619.5199999996</v>
      </c>
      <c r="O215" s="1">
        <v>1286721.48</v>
      </c>
      <c r="P215" s="1">
        <v>7980619.5199999996</v>
      </c>
      <c r="Q215">
        <v>0</v>
      </c>
      <c r="R215" s="1">
        <v>7980619.5199999996</v>
      </c>
      <c r="S215">
        <v>0</v>
      </c>
    </row>
    <row r="216" spans="1:19" x14ac:dyDescent="0.25">
      <c r="A216" s="3">
        <v>1001</v>
      </c>
      <c r="B216" s="4" t="s">
        <v>21</v>
      </c>
      <c r="C216" s="4" t="str">
        <f t="shared" si="15"/>
        <v>15</v>
      </c>
      <c r="D216" t="s">
        <v>168</v>
      </c>
      <c r="E216" s="3" t="str">
        <f t="shared" si="16"/>
        <v>150160000</v>
      </c>
      <c r="F216" t="s">
        <v>116</v>
      </c>
      <c r="G216" t="s">
        <v>170</v>
      </c>
      <c r="H216" t="s">
        <v>171</v>
      </c>
      <c r="I216">
        <v>8</v>
      </c>
      <c r="J216" t="s">
        <v>27</v>
      </c>
      <c r="K216" s="1">
        <v>5489593</v>
      </c>
      <c r="L216" s="1">
        <v>127828</v>
      </c>
      <c r="M216" s="1">
        <v>-5361765</v>
      </c>
      <c r="N216" s="1">
        <v>127828</v>
      </c>
      <c r="O216">
        <v>0</v>
      </c>
      <c r="P216" s="1">
        <v>127828</v>
      </c>
      <c r="Q216">
        <v>0</v>
      </c>
      <c r="R216" s="1">
        <v>127828</v>
      </c>
      <c r="S216">
        <v>0</v>
      </c>
    </row>
    <row r="217" spans="1:19" x14ac:dyDescent="0.25">
      <c r="A217" s="3">
        <v>1001</v>
      </c>
      <c r="B217" s="4" t="s">
        <v>21</v>
      </c>
      <c r="C217" s="4" t="str">
        <f t="shared" si="15"/>
        <v>15</v>
      </c>
      <c r="D217" t="s">
        <v>168</v>
      </c>
      <c r="E217" s="3" t="str">
        <f t="shared" si="16"/>
        <v>150160000</v>
      </c>
      <c r="F217" t="s">
        <v>116</v>
      </c>
      <c r="G217" t="s">
        <v>174</v>
      </c>
      <c r="H217" t="s">
        <v>175</v>
      </c>
      <c r="I217">
        <v>1</v>
      </c>
      <c r="J217" t="s">
        <v>25</v>
      </c>
      <c r="K217" s="1">
        <v>1099828861</v>
      </c>
      <c r="L217" s="1">
        <v>1169611027</v>
      </c>
      <c r="M217" s="1">
        <v>69782166</v>
      </c>
      <c r="N217" s="1">
        <v>1169611025.1900001</v>
      </c>
      <c r="O217">
        <v>1.81</v>
      </c>
      <c r="P217" s="1">
        <v>1169611025.1900001</v>
      </c>
      <c r="Q217">
        <v>0</v>
      </c>
      <c r="R217" s="1">
        <v>1169611025.1900001</v>
      </c>
      <c r="S217">
        <v>0</v>
      </c>
    </row>
    <row r="218" spans="1:19" x14ac:dyDescent="0.25">
      <c r="A218" s="3">
        <v>1001</v>
      </c>
      <c r="B218" s="4" t="s">
        <v>21</v>
      </c>
      <c r="C218" s="4" t="str">
        <f t="shared" si="15"/>
        <v>15</v>
      </c>
      <c r="D218" t="s">
        <v>168</v>
      </c>
      <c r="E218" s="3" t="str">
        <f t="shared" si="16"/>
        <v>150160000</v>
      </c>
      <c r="F218" t="s">
        <v>116</v>
      </c>
      <c r="G218" t="s">
        <v>177</v>
      </c>
      <c r="H218" t="s">
        <v>178</v>
      </c>
      <c r="I218">
        <v>1</v>
      </c>
      <c r="J218" t="s">
        <v>25</v>
      </c>
      <c r="K218" s="1">
        <v>1113963736</v>
      </c>
      <c r="L218" s="1">
        <v>1230569795.3</v>
      </c>
      <c r="M218" s="1">
        <v>116606059.3</v>
      </c>
      <c r="N218" s="1">
        <v>1230569793.8499999</v>
      </c>
      <c r="O218">
        <v>1.45</v>
      </c>
      <c r="P218" s="1">
        <v>1230569793.8499999</v>
      </c>
      <c r="Q218">
        <v>0</v>
      </c>
      <c r="R218" s="1">
        <v>1230569793.8499999</v>
      </c>
      <c r="S218">
        <v>0</v>
      </c>
    </row>
    <row r="219" spans="1:19" x14ac:dyDescent="0.25">
      <c r="A219" s="3">
        <v>1001</v>
      </c>
      <c r="B219" s="4" t="s">
        <v>21</v>
      </c>
      <c r="C219" s="4" t="str">
        <f t="shared" si="15"/>
        <v>15</v>
      </c>
      <c r="D219" t="s">
        <v>168</v>
      </c>
      <c r="E219" s="3" t="str">
        <f t="shared" si="16"/>
        <v>150160000</v>
      </c>
      <c r="F219" t="s">
        <v>116</v>
      </c>
      <c r="G219" t="s">
        <v>179</v>
      </c>
      <c r="H219" t="s">
        <v>180</v>
      </c>
      <c r="I219">
        <v>1</v>
      </c>
      <c r="J219" t="s">
        <v>25</v>
      </c>
      <c r="K219" s="1">
        <v>95498405</v>
      </c>
      <c r="L219" s="1">
        <v>91949409</v>
      </c>
      <c r="M219" s="1">
        <v>-3548996</v>
      </c>
      <c r="N219" s="1">
        <v>91949405.579999998</v>
      </c>
      <c r="O219">
        <v>3.42</v>
      </c>
      <c r="P219" s="1">
        <v>91949405.579999998</v>
      </c>
      <c r="Q219">
        <v>0</v>
      </c>
      <c r="R219" s="1">
        <v>91949405.579999998</v>
      </c>
      <c r="S219">
        <v>0</v>
      </c>
    </row>
    <row r="220" spans="1:19" x14ac:dyDescent="0.25">
      <c r="A220" s="3">
        <v>1001</v>
      </c>
      <c r="B220" s="4" t="s">
        <v>21</v>
      </c>
      <c r="C220" s="4" t="str">
        <f t="shared" si="15"/>
        <v>15</v>
      </c>
      <c r="D220" t="s">
        <v>168</v>
      </c>
      <c r="E220" s="3" t="str">
        <f t="shared" si="16"/>
        <v>150160000</v>
      </c>
      <c r="F220" t="s">
        <v>116</v>
      </c>
      <c r="G220" t="s">
        <v>194</v>
      </c>
      <c r="H220" t="s">
        <v>195</v>
      </c>
      <c r="I220">
        <v>1</v>
      </c>
      <c r="J220" t="s">
        <v>25</v>
      </c>
      <c r="K220" s="1">
        <v>114189167</v>
      </c>
      <c r="L220" s="1">
        <v>86222345.480000004</v>
      </c>
      <c r="M220" s="1">
        <v>-27966821.52</v>
      </c>
      <c r="N220" s="1">
        <v>86222342.75</v>
      </c>
      <c r="O220">
        <v>2.73</v>
      </c>
      <c r="P220" s="1">
        <v>86222342.75</v>
      </c>
      <c r="Q220">
        <v>0</v>
      </c>
      <c r="R220" s="1">
        <v>86222342.75</v>
      </c>
      <c r="S220">
        <v>0</v>
      </c>
    </row>
    <row r="221" spans="1:19" x14ac:dyDescent="0.25">
      <c r="A221" s="3">
        <v>1001</v>
      </c>
      <c r="B221" s="4" t="s">
        <v>21</v>
      </c>
      <c r="C221" s="4" t="str">
        <f t="shared" si="15"/>
        <v>15</v>
      </c>
      <c r="D221" t="s">
        <v>168</v>
      </c>
      <c r="E221" s="3" t="str">
        <f t="shared" si="16"/>
        <v>150160000</v>
      </c>
      <c r="F221" t="s">
        <v>116</v>
      </c>
      <c r="G221" t="s">
        <v>196</v>
      </c>
      <c r="H221" t="s">
        <v>197</v>
      </c>
      <c r="I221">
        <v>1</v>
      </c>
      <c r="J221" t="s">
        <v>25</v>
      </c>
      <c r="K221" s="1">
        <v>5782395</v>
      </c>
      <c r="L221" s="1">
        <v>4722468</v>
      </c>
      <c r="M221" s="1">
        <v>-1059927</v>
      </c>
      <c r="N221" s="1">
        <v>4722466.7699999996</v>
      </c>
      <c r="O221">
        <v>1.23</v>
      </c>
      <c r="P221" s="1">
        <v>4722466.7699999996</v>
      </c>
      <c r="Q221">
        <v>0</v>
      </c>
      <c r="R221" s="1">
        <v>4722466.7699999996</v>
      </c>
      <c r="S221">
        <v>0</v>
      </c>
    </row>
    <row r="222" spans="1:19" x14ac:dyDescent="0.25">
      <c r="A222" s="3">
        <v>1001</v>
      </c>
      <c r="B222" s="4" t="s">
        <v>21</v>
      </c>
      <c r="C222" s="4" t="str">
        <f t="shared" si="15"/>
        <v>15</v>
      </c>
      <c r="D222" t="s">
        <v>168</v>
      </c>
      <c r="E222" s="3" t="str">
        <f t="shared" si="16"/>
        <v>150160000</v>
      </c>
      <c r="F222" t="s">
        <v>116</v>
      </c>
      <c r="G222" t="s">
        <v>198</v>
      </c>
      <c r="H222" t="s">
        <v>199</v>
      </c>
      <c r="I222">
        <v>1</v>
      </c>
      <c r="J222" t="s">
        <v>25</v>
      </c>
      <c r="K222" s="1">
        <v>351004702</v>
      </c>
      <c r="L222" s="1">
        <v>378658281.58999997</v>
      </c>
      <c r="M222" s="1">
        <v>27653579.59</v>
      </c>
      <c r="N222" s="1">
        <v>378658274.67000002</v>
      </c>
      <c r="O222">
        <v>6.92</v>
      </c>
      <c r="P222" s="1">
        <v>378658274.67000002</v>
      </c>
      <c r="Q222">
        <v>0</v>
      </c>
      <c r="R222" s="1">
        <v>378658274.66000003</v>
      </c>
      <c r="S222">
        <v>0.01</v>
      </c>
    </row>
    <row r="223" spans="1:19" x14ac:dyDescent="0.25">
      <c r="A223" s="3">
        <v>1001</v>
      </c>
      <c r="B223" s="4" t="s">
        <v>21</v>
      </c>
      <c r="C223" s="4" t="str">
        <f t="shared" si="15"/>
        <v>15</v>
      </c>
      <c r="D223" t="s">
        <v>168</v>
      </c>
      <c r="E223" s="3" t="str">
        <f>"150170000"</f>
        <v>150170000</v>
      </c>
      <c r="F223" t="s">
        <v>200</v>
      </c>
      <c r="G223" t="s">
        <v>201</v>
      </c>
      <c r="H223" t="s">
        <v>202</v>
      </c>
      <c r="I223">
        <v>1</v>
      </c>
      <c r="J223" t="s">
        <v>25</v>
      </c>
      <c r="K223" s="1">
        <v>450766</v>
      </c>
      <c r="L223" s="1">
        <v>403422</v>
      </c>
      <c r="M223" s="1">
        <v>-47344</v>
      </c>
      <c r="N223" s="1">
        <v>403418.47</v>
      </c>
      <c r="O223">
        <v>3.53</v>
      </c>
      <c r="P223" s="1">
        <v>403418.47</v>
      </c>
      <c r="Q223">
        <v>0</v>
      </c>
      <c r="R223" s="1">
        <v>403418.47</v>
      </c>
      <c r="S223">
        <v>0</v>
      </c>
    </row>
    <row r="224" spans="1:19" x14ac:dyDescent="0.25">
      <c r="A224" s="3">
        <v>1001</v>
      </c>
      <c r="B224" s="4" t="s">
        <v>21</v>
      </c>
      <c r="C224" s="4" t="str">
        <f t="shared" si="15"/>
        <v>15</v>
      </c>
      <c r="D224" t="s">
        <v>168</v>
      </c>
      <c r="E224" s="3" t="str">
        <f>"150170000"</f>
        <v>150170000</v>
      </c>
      <c r="F224" t="s">
        <v>200</v>
      </c>
      <c r="G224" t="s">
        <v>201</v>
      </c>
      <c r="H224" t="s">
        <v>202</v>
      </c>
      <c r="I224">
        <v>2</v>
      </c>
      <c r="J224" t="s">
        <v>26</v>
      </c>
      <c r="K224" s="1">
        <v>115558</v>
      </c>
      <c r="L224" s="1">
        <v>89159.07</v>
      </c>
      <c r="M224" s="1">
        <v>-26398.93</v>
      </c>
      <c r="N224" s="1">
        <v>59926.37</v>
      </c>
      <c r="O224" s="1">
        <v>29232.7</v>
      </c>
      <c r="P224" s="1">
        <v>59926.37</v>
      </c>
      <c r="Q224">
        <v>0</v>
      </c>
      <c r="R224" s="1">
        <v>59811.519999999997</v>
      </c>
      <c r="S224">
        <v>114.85</v>
      </c>
    </row>
    <row r="225" spans="1:19" x14ac:dyDescent="0.25">
      <c r="A225" s="3">
        <v>1001</v>
      </c>
      <c r="B225" s="4" t="s">
        <v>21</v>
      </c>
      <c r="C225" s="4" t="str">
        <f t="shared" si="15"/>
        <v>15</v>
      </c>
      <c r="D225" t="s">
        <v>168</v>
      </c>
      <c r="E225" s="3" t="str">
        <f>"150190000"</f>
        <v>150190000</v>
      </c>
      <c r="F225" t="s">
        <v>203</v>
      </c>
      <c r="G225" t="s">
        <v>204</v>
      </c>
      <c r="H225" t="s">
        <v>205</v>
      </c>
      <c r="I225">
        <v>1</v>
      </c>
      <c r="J225" t="s">
        <v>25</v>
      </c>
      <c r="K225" s="1">
        <v>3601440</v>
      </c>
      <c r="L225" s="1">
        <v>3751701.62</v>
      </c>
      <c r="M225" s="1">
        <v>150261.62</v>
      </c>
      <c r="N225" s="1">
        <v>3751389.22</v>
      </c>
      <c r="O225">
        <v>312.39999999999998</v>
      </c>
      <c r="P225" s="1">
        <v>3751389.22</v>
      </c>
      <c r="Q225">
        <v>0</v>
      </c>
      <c r="R225" s="1">
        <v>3751389.22</v>
      </c>
      <c r="S225">
        <v>0</v>
      </c>
    </row>
    <row r="226" spans="1:19" x14ac:dyDescent="0.25">
      <c r="A226" s="3">
        <v>1001</v>
      </c>
      <c r="B226" s="4" t="s">
        <v>21</v>
      </c>
      <c r="C226" s="4" t="str">
        <f t="shared" si="15"/>
        <v>15</v>
      </c>
      <c r="D226" t="s">
        <v>168</v>
      </c>
      <c r="E226" s="3" t="str">
        <f>"150190000"</f>
        <v>150190000</v>
      </c>
      <c r="F226" t="s">
        <v>203</v>
      </c>
      <c r="G226" t="s">
        <v>204</v>
      </c>
      <c r="H226" t="s">
        <v>205</v>
      </c>
      <c r="I226">
        <v>2</v>
      </c>
      <c r="J226" t="s">
        <v>26</v>
      </c>
      <c r="K226" s="1">
        <v>2401990</v>
      </c>
      <c r="L226" s="1">
        <v>2180963.7000000002</v>
      </c>
      <c r="M226" s="1">
        <v>-221026.3</v>
      </c>
      <c r="N226" s="1">
        <v>2157830.2599999998</v>
      </c>
      <c r="O226" s="1">
        <v>23133.439999999999</v>
      </c>
      <c r="P226" s="1">
        <v>2148751.8199999998</v>
      </c>
      <c r="Q226" s="1">
        <v>9078.44</v>
      </c>
      <c r="R226" s="1">
        <v>2041362.27</v>
      </c>
      <c r="S226" s="1">
        <v>107389.55</v>
      </c>
    </row>
    <row r="227" spans="1:19" x14ac:dyDescent="0.25">
      <c r="A227" s="3">
        <v>1001</v>
      </c>
      <c r="B227" s="4" t="s">
        <v>21</v>
      </c>
      <c r="C227" s="4" t="str">
        <f t="shared" si="15"/>
        <v>15</v>
      </c>
      <c r="D227" t="s">
        <v>168</v>
      </c>
      <c r="E227" s="3" t="str">
        <f>"150190000"</f>
        <v>150190000</v>
      </c>
      <c r="F227" t="s">
        <v>203</v>
      </c>
      <c r="G227" t="s">
        <v>204</v>
      </c>
      <c r="H227" t="s">
        <v>205</v>
      </c>
      <c r="I227">
        <v>4</v>
      </c>
      <c r="J227" t="s">
        <v>36</v>
      </c>
      <c r="K227" s="1">
        <v>4334134</v>
      </c>
      <c r="L227" s="1">
        <v>5666500</v>
      </c>
      <c r="M227" s="1">
        <v>1332366</v>
      </c>
      <c r="N227" s="1">
        <v>5654000</v>
      </c>
      <c r="O227" s="1">
        <v>12500</v>
      </c>
      <c r="P227" s="1">
        <v>5654000</v>
      </c>
      <c r="Q227">
        <v>0</v>
      </c>
      <c r="R227" s="1">
        <v>5654000</v>
      </c>
      <c r="S227">
        <v>0</v>
      </c>
    </row>
    <row r="228" spans="1:19" x14ac:dyDescent="0.25">
      <c r="A228" s="3">
        <v>1001</v>
      </c>
      <c r="B228" s="4" t="s">
        <v>21</v>
      </c>
      <c r="C228" s="4" t="str">
        <f t="shared" si="15"/>
        <v>15</v>
      </c>
      <c r="D228" t="s">
        <v>168</v>
      </c>
      <c r="E228" s="3" t="str">
        <f>"150190000"</f>
        <v>150190000</v>
      </c>
      <c r="F228" t="s">
        <v>203</v>
      </c>
      <c r="G228" t="s">
        <v>204</v>
      </c>
      <c r="H228" t="s">
        <v>205</v>
      </c>
      <c r="I228">
        <v>7</v>
      </c>
      <c r="J228" t="s">
        <v>40</v>
      </c>
      <c r="K228" s="1">
        <v>136274516</v>
      </c>
      <c r="L228" s="1">
        <v>115239483.73</v>
      </c>
      <c r="M228" s="1">
        <v>-21035032.27</v>
      </c>
      <c r="N228" s="1">
        <v>109397757.81</v>
      </c>
      <c r="O228" s="1">
        <v>5841725.9199999999</v>
      </c>
      <c r="P228" s="1">
        <v>108717923.54000001</v>
      </c>
      <c r="Q228" s="1">
        <v>679834.27</v>
      </c>
      <c r="R228" s="1">
        <v>107448479.11</v>
      </c>
      <c r="S228" s="1">
        <v>1269444.43</v>
      </c>
    </row>
    <row r="229" spans="1:19" x14ac:dyDescent="0.25">
      <c r="A229" s="3">
        <v>1001</v>
      </c>
      <c r="B229" s="4" t="s">
        <v>21</v>
      </c>
      <c r="C229" s="4" t="str">
        <f t="shared" si="15"/>
        <v>15</v>
      </c>
      <c r="D229" t="s">
        <v>168</v>
      </c>
      <c r="E229" s="3" t="str">
        <f>"150190000"</f>
        <v>150190000</v>
      </c>
      <c r="F229" t="s">
        <v>203</v>
      </c>
      <c r="G229" t="s">
        <v>204</v>
      </c>
      <c r="H229" t="s">
        <v>205</v>
      </c>
      <c r="I229">
        <v>8</v>
      </c>
      <c r="J229" t="s">
        <v>27</v>
      </c>
      <c r="K229" s="1">
        <v>1439222</v>
      </c>
      <c r="L229" s="1">
        <v>475415.46</v>
      </c>
      <c r="M229" s="1">
        <v>-963806.54</v>
      </c>
      <c r="N229" s="1">
        <v>475415.46</v>
      </c>
      <c r="O229">
        <v>0</v>
      </c>
      <c r="P229" s="1">
        <v>475415.46</v>
      </c>
      <c r="Q229">
        <v>0</v>
      </c>
      <c r="R229" s="1">
        <v>475415.46</v>
      </c>
      <c r="S229">
        <v>0</v>
      </c>
    </row>
    <row r="230" spans="1:19" x14ac:dyDescent="0.25">
      <c r="A230" s="3">
        <v>1001</v>
      </c>
      <c r="B230" s="4" t="s">
        <v>21</v>
      </c>
      <c r="C230" s="4" t="str">
        <f t="shared" si="15"/>
        <v>15</v>
      </c>
      <c r="D230" t="s">
        <v>168</v>
      </c>
      <c r="E230" s="3" t="str">
        <f>"150200000"</f>
        <v>150200000</v>
      </c>
      <c r="F230" t="s">
        <v>206</v>
      </c>
      <c r="G230" t="s">
        <v>196</v>
      </c>
      <c r="H230" t="s">
        <v>197</v>
      </c>
      <c r="I230">
        <v>1</v>
      </c>
      <c r="J230" t="s">
        <v>25</v>
      </c>
      <c r="K230" s="1">
        <v>3015554</v>
      </c>
      <c r="L230" s="1">
        <v>2158560.3199999998</v>
      </c>
      <c r="M230" s="1">
        <v>-856993.68</v>
      </c>
      <c r="N230" s="1">
        <v>2158554.98</v>
      </c>
      <c r="O230">
        <v>5.34</v>
      </c>
      <c r="P230" s="1">
        <v>2158554.98</v>
      </c>
      <c r="Q230">
        <v>0</v>
      </c>
      <c r="R230" s="1">
        <v>2158554.98</v>
      </c>
      <c r="S230">
        <v>0</v>
      </c>
    </row>
    <row r="231" spans="1:19" x14ac:dyDescent="0.25">
      <c r="A231" s="3">
        <v>1001</v>
      </c>
      <c r="B231" s="4" t="s">
        <v>21</v>
      </c>
      <c r="C231" s="4" t="str">
        <f t="shared" si="15"/>
        <v>15</v>
      </c>
      <c r="D231" t="s">
        <v>168</v>
      </c>
      <c r="E231" s="3" t="str">
        <f>"150200000"</f>
        <v>150200000</v>
      </c>
      <c r="F231" t="s">
        <v>206</v>
      </c>
      <c r="G231" t="s">
        <v>196</v>
      </c>
      <c r="H231" t="s">
        <v>197</v>
      </c>
      <c r="I231">
        <v>2</v>
      </c>
      <c r="J231" t="s">
        <v>26</v>
      </c>
      <c r="K231" s="1">
        <v>43942535</v>
      </c>
      <c r="L231" s="1">
        <v>46714867.039999999</v>
      </c>
      <c r="M231" s="1">
        <v>2772332.04</v>
      </c>
      <c r="N231" s="1">
        <v>46260480.600000001</v>
      </c>
      <c r="O231" s="1">
        <v>454386.44</v>
      </c>
      <c r="P231" s="1">
        <v>46258873.719999999</v>
      </c>
      <c r="Q231" s="1">
        <v>1606.88</v>
      </c>
      <c r="R231" s="1">
        <v>43113302.869999997</v>
      </c>
      <c r="S231" s="1">
        <v>3145570.85</v>
      </c>
    </row>
    <row r="232" spans="1:19" x14ac:dyDescent="0.25">
      <c r="A232" s="3">
        <v>1001</v>
      </c>
      <c r="B232" s="4" t="s">
        <v>21</v>
      </c>
      <c r="C232" s="4" t="str">
        <f t="shared" si="15"/>
        <v>15</v>
      </c>
      <c r="D232" t="s">
        <v>168</v>
      </c>
      <c r="E232" s="3" t="str">
        <f>"150200000"</f>
        <v>150200000</v>
      </c>
      <c r="F232" t="s">
        <v>206</v>
      </c>
      <c r="G232" t="s">
        <v>196</v>
      </c>
      <c r="H232" t="s">
        <v>197</v>
      </c>
      <c r="I232">
        <v>4</v>
      </c>
      <c r="J232" t="s">
        <v>36</v>
      </c>
      <c r="K232" s="1">
        <v>256511</v>
      </c>
      <c r="L232" s="1">
        <v>274771.65000000002</v>
      </c>
      <c r="M232" s="1">
        <v>18260.650000000001</v>
      </c>
      <c r="N232" s="1">
        <v>274771.65000000002</v>
      </c>
      <c r="O232">
        <v>0</v>
      </c>
      <c r="P232" s="1">
        <v>268771.65000000002</v>
      </c>
      <c r="Q232" s="1">
        <v>6000</v>
      </c>
      <c r="R232" s="1">
        <v>268771.65000000002</v>
      </c>
      <c r="S232">
        <v>0</v>
      </c>
    </row>
    <row r="233" spans="1:19" x14ac:dyDescent="0.25">
      <c r="A233" s="3">
        <v>1001</v>
      </c>
      <c r="B233" s="4" t="s">
        <v>21</v>
      </c>
      <c r="C233" s="4" t="str">
        <f t="shared" si="15"/>
        <v>15</v>
      </c>
      <c r="D233" t="s">
        <v>168</v>
      </c>
      <c r="E233" s="3" t="str">
        <f>"150200000"</f>
        <v>150200000</v>
      </c>
      <c r="F233" t="s">
        <v>206</v>
      </c>
      <c r="G233" t="s">
        <v>196</v>
      </c>
      <c r="H233" t="s">
        <v>197</v>
      </c>
      <c r="I233">
        <v>6</v>
      </c>
      <c r="J233" t="s">
        <v>32</v>
      </c>
      <c r="K233" s="1">
        <v>10000000</v>
      </c>
      <c r="L233" s="1">
        <v>14200019.26</v>
      </c>
      <c r="M233" s="1">
        <v>4200019.26</v>
      </c>
      <c r="N233" s="1">
        <v>12211804</v>
      </c>
      <c r="O233" s="1">
        <v>1988215.26</v>
      </c>
      <c r="P233" s="1">
        <v>12211804</v>
      </c>
      <c r="Q233">
        <v>0</v>
      </c>
      <c r="R233" s="1">
        <v>12211804</v>
      </c>
      <c r="S233">
        <v>0</v>
      </c>
    </row>
    <row r="234" spans="1:19" x14ac:dyDescent="0.25">
      <c r="A234" s="3">
        <v>1001</v>
      </c>
      <c r="B234" s="4" t="s">
        <v>21</v>
      </c>
      <c r="C234" s="4" t="str">
        <f t="shared" ref="C234:C277" si="17">"16"</f>
        <v>16</v>
      </c>
      <c r="D234" t="s">
        <v>207</v>
      </c>
      <c r="E234" s="3" t="str">
        <f t="shared" ref="E234:E239" si="18">"160010000"</f>
        <v>160010000</v>
      </c>
      <c r="F234" t="s">
        <v>208</v>
      </c>
      <c r="G234" t="s">
        <v>209</v>
      </c>
      <c r="H234" t="s">
        <v>210</v>
      </c>
      <c r="I234">
        <v>1</v>
      </c>
      <c r="J234" t="s">
        <v>25</v>
      </c>
      <c r="K234" s="1">
        <v>16379394</v>
      </c>
      <c r="L234" s="1">
        <v>15311018.210000001</v>
      </c>
      <c r="M234" s="1">
        <v>-1068375.79</v>
      </c>
      <c r="N234" s="1">
        <v>15257652.449999999</v>
      </c>
      <c r="O234" s="1">
        <v>53365.760000000002</v>
      </c>
      <c r="P234" s="1">
        <v>15257652.449999999</v>
      </c>
      <c r="Q234">
        <v>0</v>
      </c>
      <c r="R234" s="1">
        <v>15257652.449999999</v>
      </c>
      <c r="S234">
        <v>0</v>
      </c>
    </row>
    <row r="235" spans="1:19" x14ac:dyDescent="0.25">
      <c r="A235" s="3">
        <v>1001</v>
      </c>
      <c r="B235" s="4" t="s">
        <v>21</v>
      </c>
      <c r="C235" s="4" t="str">
        <f t="shared" si="17"/>
        <v>16</v>
      </c>
      <c r="D235" t="s">
        <v>207</v>
      </c>
      <c r="E235" s="3" t="str">
        <f t="shared" si="18"/>
        <v>160010000</v>
      </c>
      <c r="F235" t="s">
        <v>208</v>
      </c>
      <c r="G235" t="s">
        <v>209</v>
      </c>
      <c r="H235" t="s">
        <v>210</v>
      </c>
      <c r="I235">
        <v>2</v>
      </c>
      <c r="J235" t="s">
        <v>26</v>
      </c>
      <c r="K235" s="1">
        <v>12659315</v>
      </c>
      <c r="L235" s="1">
        <v>11320872.48</v>
      </c>
      <c r="M235" s="1">
        <v>-1338442.52</v>
      </c>
      <c r="N235" s="1">
        <v>10948948.66</v>
      </c>
      <c r="O235" s="1">
        <v>371923.82</v>
      </c>
      <c r="P235" s="1">
        <v>10948948.66</v>
      </c>
      <c r="Q235">
        <v>0</v>
      </c>
      <c r="R235" s="1">
        <v>10911368.960000001</v>
      </c>
      <c r="S235" s="1">
        <v>37579.699999999997</v>
      </c>
    </row>
    <row r="236" spans="1:19" x14ac:dyDescent="0.25">
      <c r="A236" s="3">
        <v>1001</v>
      </c>
      <c r="B236" s="4" t="s">
        <v>21</v>
      </c>
      <c r="C236" s="4" t="str">
        <f t="shared" si="17"/>
        <v>16</v>
      </c>
      <c r="D236" t="s">
        <v>207</v>
      </c>
      <c r="E236" s="3" t="str">
        <f t="shared" si="18"/>
        <v>160010000</v>
      </c>
      <c r="F236" t="s">
        <v>208</v>
      </c>
      <c r="G236" t="s">
        <v>209</v>
      </c>
      <c r="H236" t="s">
        <v>210</v>
      </c>
      <c r="I236">
        <v>3</v>
      </c>
      <c r="J236" t="s">
        <v>39</v>
      </c>
      <c r="K236" s="1">
        <v>100000</v>
      </c>
      <c r="L236" s="1">
        <v>10000</v>
      </c>
      <c r="M236" s="1">
        <v>-90000</v>
      </c>
      <c r="N236">
        <v>513.11</v>
      </c>
      <c r="O236" s="1">
        <v>9486.89</v>
      </c>
      <c r="P236">
        <v>513.11</v>
      </c>
      <c r="Q236">
        <v>0</v>
      </c>
      <c r="R236">
        <v>513.11</v>
      </c>
      <c r="S236">
        <v>0</v>
      </c>
    </row>
    <row r="237" spans="1:19" x14ac:dyDescent="0.25">
      <c r="A237" s="3">
        <v>1001</v>
      </c>
      <c r="B237" s="4" t="s">
        <v>21</v>
      </c>
      <c r="C237" s="4" t="str">
        <f t="shared" si="17"/>
        <v>16</v>
      </c>
      <c r="D237" t="s">
        <v>207</v>
      </c>
      <c r="E237" s="3" t="str">
        <f t="shared" si="18"/>
        <v>160010000</v>
      </c>
      <c r="F237" t="s">
        <v>208</v>
      </c>
      <c r="G237" t="s">
        <v>209</v>
      </c>
      <c r="H237" t="s">
        <v>210</v>
      </c>
      <c r="I237">
        <v>6</v>
      </c>
      <c r="J237" t="s">
        <v>32</v>
      </c>
      <c r="K237" s="1">
        <v>543348</v>
      </c>
      <c r="L237" s="1">
        <v>102650</v>
      </c>
      <c r="M237" s="1">
        <v>-440698</v>
      </c>
      <c r="N237" s="1">
        <v>94651.839999999997</v>
      </c>
      <c r="O237" s="1">
        <v>7998.16</v>
      </c>
      <c r="P237" s="1">
        <v>94651.839999999997</v>
      </c>
      <c r="Q237">
        <v>0</v>
      </c>
      <c r="R237" s="1">
        <v>94651.839999999997</v>
      </c>
      <c r="S237">
        <v>0</v>
      </c>
    </row>
    <row r="238" spans="1:19" x14ac:dyDescent="0.25">
      <c r="A238" s="3">
        <v>1001</v>
      </c>
      <c r="B238" s="4" t="s">
        <v>21</v>
      </c>
      <c r="C238" s="4" t="str">
        <f t="shared" si="17"/>
        <v>16</v>
      </c>
      <c r="D238" t="s">
        <v>207</v>
      </c>
      <c r="E238" s="3" t="str">
        <f t="shared" si="18"/>
        <v>160010000</v>
      </c>
      <c r="F238" t="s">
        <v>208</v>
      </c>
      <c r="G238" t="s">
        <v>209</v>
      </c>
      <c r="H238" t="s">
        <v>210</v>
      </c>
      <c r="I238">
        <v>7</v>
      </c>
      <c r="J238" t="s">
        <v>40</v>
      </c>
      <c r="K238" s="1">
        <v>150000</v>
      </c>
      <c r="L238">
        <v>0</v>
      </c>
      <c r="M238" s="1">
        <v>-150000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</row>
    <row r="239" spans="1:19" x14ac:dyDescent="0.25">
      <c r="A239" s="3">
        <v>1001</v>
      </c>
      <c r="B239" s="4" t="s">
        <v>21</v>
      </c>
      <c r="C239" s="4" t="str">
        <f t="shared" si="17"/>
        <v>16</v>
      </c>
      <c r="D239" t="s">
        <v>207</v>
      </c>
      <c r="E239" s="3" t="str">
        <f t="shared" si="18"/>
        <v>160010000</v>
      </c>
      <c r="F239" t="s">
        <v>208</v>
      </c>
      <c r="G239" t="s">
        <v>209</v>
      </c>
      <c r="H239" t="s">
        <v>210</v>
      </c>
      <c r="I239">
        <v>8</v>
      </c>
      <c r="J239" t="s">
        <v>27</v>
      </c>
      <c r="K239" s="1">
        <v>141943</v>
      </c>
      <c r="L239" s="1">
        <v>34600</v>
      </c>
      <c r="M239" s="1">
        <v>-107343</v>
      </c>
      <c r="N239" s="1">
        <v>34600</v>
      </c>
      <c r="O239">
        <v>0</v>
      </c>
      <c r="P239" s="1">
        <v>34600</v>
      </c>
      <c r="Q239">
        <v>0</v>
      </c>
      <c r="R239" s="1">
        <v>34600</v>
      </c>
      <c r="S239">
        <v>0</v>
      </c>
    </row>
    <row r="240" spans="1:19" x14ac:dyDescent="0.25">
      <c r="A240" s="3">
        <v>1001</v>
      </c>
      <c r="B240" s="4" t="s">
        <v>21</v>
      </c>
      <c r="C240" s="4" t="str">
        <f t="shared" si="17"/>
        <v>16</v>
      </c>
      <c r="D240" t="s">
        <v>207</v>
      </c>
      <c r="E240" s="3" t="str">
        <f t="shared" ref="E240:E245" si="19">"160100000"</f>
        <v>160100000</v>
      </c>
      <c r="F240" t="s">
        <v>211</v>
      </c>
      <c r="G240" t="s">
        <v>212</v>
      </c>
      <c r="H240" t="s">
        <v>213</v>
      </c>
      <c r="I240">
        <v>1</v>
      </c>
      <c r="J240" t="s">
        <v>25</v>
      </c>
      <c r="K240" s="1">
        <v>7322539</v>
      </c>
      <c r="L240" s="1">
        <v>6275397.6399999997</v>
      </c>
      <c r="M240" s="1">
        <v>-1047141.36</v>
      </c>
      <c r="N240" s="1">
        <v>6275345.0199999996</v>
      </c>
      <c r="O240">
        <v>52.62</v>
      </c>
      <c r="P240" s="1">
        <v>6275345.0199999996</v>
      </c>
      <c r="Q240">
        <v>0</v>
      </c>
      <c r="R240" s="1">
        <v>6275345.0199999996</v>
      </c>
      <c r="S240">
        <v>0</v>
      </c>
    </row>
    <row r="241" spans="1:19" x14ac:dyDescent="0.25">
      <c r="A241" s="3">
        <v>1001</v>
      </c>
      <c r="B241" s="4" t="s">
        <v>21</v>
      </c>
      <c r="C241" s="4" t="str">
        <f t="shared" si="17"/>
        <v>16</v>
      </c>
      <c r="D241" t="s">
        <v>207</v>
      </c>
      <c r="E241" s="3" t="str">
        <f t="shared" si="19"/>
        <v>160100000</v>
      </c>
      <c r="F241" t="s">
        <v>211</v>
      </c>
      <c r="G241" t="s">
        <v>212</v>
      </c>
      <c r="H241" t="s">
        <v>213</v>
      </c>
      <c r="I241">
        <v>2</v>
      </c>
      <c r="J241" t="s">
        <v>26</v>
      </c>
      <c r="K241" s="1">
        <v>4393757</v>
      </c>
      <c r="L241" s="1">
        <v>6793134</v>
      </c>
      <c r="M241" s="1">
        <v>2399377</v>
      </c>
      <c r="N241" s="1">
        <v>6617882.5800000001</v>
      </c>
      <c r="O241" s="1">
        <v>175251.42</v>
      </c>
      <c r="P241" s="1">
        <v>6617882.5800000001</v>
      </c>
      <c r="Q241">
        <v>0</v>
      </c>
      <c r="R241" s="1">
        <v>6525531.1100000003</v>
      </c>
      <c r="S241" s="1">
        <v>92351.47</v>
      </c>
    </row>
    <row r="242" spans="1:19" x14ac:dyDescent="0.25">
      <c r="A242" s="3">
        <v>1001</v>
      </c>
      <c r="B242" s="4" t="s">
        <v>21</v>
      </c>
      <c r="C242" s="4" t="str">
        <f t="shared" si="17"/>
        <v>16</v>
      </c>
      <c r="D242" t="s">
        <v>207</v>
      </c>
      <c r="E242" s="3" t="str">
        <f t="shared" si="19"/>
        <v>160100000</v>
      </c>
      <c r="F242" t="s">
        <v>211</v>
      </c>
      <c r="G242" t="s">
        <v>212</v>
      </c>
      <c r="H242" t="s">
        <v>213</v>
      </c>
      <c r="I242">
        <v>3</v>
      </c>
      <c r="J242" t="s">
        <v>39</v>
      </c>
      <c r="K242" s="1">
        <v>10000</v>
      </c>
      <c r="L242">
        <v>0</v>
      </c>
      <c r="M242" s="1">
        <v>-10000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</row>
    <row r="243" spans="1:19" x14ac:dyDescent="0.25">
      <c r="A243" s="3">
        <v>1001</v>
      </c>
      <c r="B243" s="4" t="s">
        <v>21</v>
      </c>
      <c r="C243" s="4" t="str">
        <f t="shared" si="17"/>
        <v>16</v>
      </c>
      <c r="D243" t="s">
        <v>207</v>
      </c>
      <c r="E243" s="3" t="str">
        <f t="shared" si="19"/>
        <v>160100000</v>
      </c>
      <c r="F243" t="s">
        <v>211</v>
      </c>
      <c r="G243" t="s">
        <v>212</v>
      </c>
      <c r="H243" t="s">
        <v>213</v>
      </c>
      <c r="I243">
        <v>4</v>
      </c>
      <c r="J243" t="s">
        <v>36</v>
      </c>
      <c r="K243" s="1">
        <v>630000</v>
      </c>
      <c r="L243" s="1">
        <v>630000</v>
      </c>
      <c r="M243">
        <v>0</v>
      </c>
      <c r="N243" s="1">
        <v>630000</v>
      </c>
      <c r="O243">
        <v>0</v>
      </c>
      <c r="P243" s="1">
        <v>630000</v>
      </c>
      <c r="Q243">
        <v>0</v>
      </c>
      <c r="R243" s="1">
        <v>630000</v>
      </c>
      <c r="S243">
        <v>0</v>
      </c>
    </row>
    <row r="244" spans="1:19" x14ac:dyDescent="0.25">
      <c r="A244" s="3">
        <v>1001</v>
      </c>
      <c r="B244" s="4" t="s">
        <v>21</v>
      </c>
      <c r="C244" s="4" t="str">
        <f t="shared" si="17"/>
        <v>16</v>
      </c>
      <c r="D244" t="s">
        <v>207</v>
      </c>
      <c r="E244" s="3" t="str">
        <f t="shared" si="19"/>
        <v>160100000</v>
      </c>
      <c r="F244" t="s">
        <v>211</v>
      </c>
      <c r="G244" t="s">
        <v>212</v>
      </c>
      <c r="H244" t="s">
        <v>213</v>
      </c>
      <c r="I244">
        <v>6</v>
      </c>
      <c r="J244" t="s">
        <v>32</v>
      </c>
      <c r="K244" s="1">
        <v>31194978</v>
      </c>
      <c r="L244" s="1">
        <v>32686330.98</v>
      </c>
      <c r="M244" s="1">
        <v>1491352.98</v>
      </c>
      <c r="N244" s="1">
        <v>27007718.370000001</v>
      </c>
      <c r="O244" s="1">
        <v>5678612.6100000003</v>
      </c>
      <c r="P244" s="1">
        <v>27007718.370000001</v>
      </c>
      <c r="Q244">
        <v>0</v>
      </c>
      <c r="R244" s="1">
        <v>25138646.949999999</v>
      </c>
      <c r="S244" s="1">
        <v>1869071.42</v>
      </c>
    </row>
    <row r="245" spans="1:19" x14ac:dyDescent="0.25">
      <c r="A245" s="3">
        <v>1001</v>
      </c>
      <c r="B245" s="4" t="s">
        <v>21</v>
      </c>
      <c r="C245" s="4" t="str">
        <f t="shared" si="17"/>
        <v>16</v>
      </c>
      <c r="D245" t="s">
        <v>207</v>
      </c>
      <c r="E245" s="3" t="str">
        <f t="shared" si="19"/>
        <v>160100000</v>
      </c>
      <c r="F245" t="s">
        <v>211</v>
      </c>
      <c r="G245" t="s">
        <v>212</v>
      </c>
      <c r="H245" t="s">
        <v>213</v>
      </c>
      <c r="I245">
        <v>7</v>
      </c>
      <c r="J245" t="s">
        <v>40</v>
      </c>
      <c r="K245" s="1">
        <v>3285592</v>
      </c>
      <c r="L245" s="1">
        <v>5565046.1699999999</v>
      </c>
      <c r="M245" s="1">
        <v>2279454.17</v>
      </c>
      <c r="N245" s="1">
        <v>5280855.1399999997</v>
      </c>
      <c r="O245" s="1">
        <v>284191.03000000003</v>
      </c>
      <c r="P245" s="1">
        <v>3837388.11</v>
      </c>
      <c r="Q245" s="1">
        <v>1443467.03</v>
      </c>
      <c r="R245" s="1">
        <v>2220580.58</v>
      </c>
      <c r="S245" s="1">
        <v>1616807.53</v>
      </c>
    </row>
    <row r="246" spans="1:19" x14ac:dyDescent="0.25">
      <c r="A246" s="3">
        <v>1001</v>
      </c>
      <c r="B246" s="4" t="s">
        <v>21</v>
      </c>
      <c r="C246" s="4" t="str">
        <f t="shared" si="17"/>
        <v>16</v>
      </c>
      <c r="D246" t="s">
        <v>207</v>
      </c>
      <c r="E246" s="3" t="str">
        <f>"160120000"</f>
        <v>160120000</v>
      </c>
      <c r="F246" t="s">
        <v>214</v>
      </c>
      <c r="G246" t="s">
        <v>215</v>
      </c>
      <c r="H246" t="s">
        <v>216</v>
      </c>
      <c r="I246">
        <v>1</v>
      </c>
      <c r="J246" t="s">
        <v>25</v>
      </c>
      <c r="K246" s="1">
        <v>7489544</v>
      </c>
      <c r="L246" s="1">
        <v>6573760.1600000001</v>
      </c>
      <c r="M246" s="1">
        <v>-915783.84</v>
      </c>
      <c r="N246" s="1">
        <v>6573754.0599999996</v>
      </c>
      <c r="O246">
        <v>6.1</v>
      </c>
      <c r="P246" s="1">
        <v>6573754.0599999996</v>
      </c>
      <c r="Q246">
        <v>0</v>
      </c>
      <c r="R246" s="1">
        <v>6573754.0599999996</v>
      </c>
      <c r="S246">
        <v>0</v>
      </c>
    </row>
    <row r="247" spans="1:19" x14ac:dyDescent="0.25">
      <c r="A247" s="3">
        <v>1001</v>
      </c>
      <c r="B247" s="4" t="s">
        <v>21</v>
      </c>
      <c r="C247" s="4" t="str">
        <f t="shared" si="17"/>
        <v>16</v>
      </c>
      <c r="D247" t="s">
        <v>207</v>
      </c>
      <c r="E247" s="3" t="str">
        <f>"160120000"</f>
        <v>160120000</v>
      </c>
      <c r="F247" t="s">
        <v>214</v>
      </c>
      <c r="G247" t="s">
        <v>215</v>
      </c>
      <c r="H247" t="s">
        <v>216</v>
      </c>
      <c r="I247">
        <v>2</v>
      </c>
      <c r="J247" t="s">
        <v>26</v>
      </c>
      <c r="K247" s="1">
        <v>732941</v>
      </c>
      <c r="L247" s="1">
        <v>423027.96</v>
      </c>
      <c r="M247" s="1">
        <v>-309913.03999999998</v>
      </c>
      <c r="N247" s="1">
        <v>411393.49</v>
      </c>
      <c r="O247" s="1">
        <v>11634.47</v>
      </c>
      <c r="P247" s="1">
        <v>411393.49</v>
      </c>
      <c r="Q247">
        <v>0</v>
      </c>
      <c r="R247" s="1">
        <v>368671.66</v>
      </c>
      <c r="S247" s="1">
        <v>42721.83</v>
      </c>
    </row>
    <row r="248" spans="1:19" x14ac:dyDescent="0.25">
      <c r="A248" s="3">
        <v>1001</v>
      </c>
      <c r="B248" s="4" t="s">
        <v>21</v>
      </c>
      <c r="C248" s="4" t="str">
        <f t="shared" si="17"/>
        <v>16</v>
      </c>
      <c r="D248" t="s">
        <v>207</v>
      </c>
      <c r="E248" s="3" t="str">
        <f>"160120000"</f>
        <v>160120000</v>
      </c>
      <c r="F248" t="s">
        <v>214</v>
      </c>
      <c r="G248" t="s">
        <v>215</v>
      </c>
      <c r="H248" t="s">
        <v>216</v>
      </c>
      <c r="I248">
        <v>4</v>
      </c>
      <c r="J248" t="s">
        <v>36</v>
      </c>
      <c r="K248" s="1">
        <v>368387</v>
      </c>
      <c r="L248" s="1">
        <v>653726</v>
      </c>
      <c r="M248" s="1">
        <v>285339</v>
      </c>
      <c r="N248" s="1">
        <v>653726</v>
      </c>
      <c r="O248">
        <v>0</v>
      </c>
      <c r="P248" s="1">
        <v>653726</v>
      </c>
      <c r="Q248">
        <v>0</v>
      </c>
      <c r="R248" s="1">
        <v>653726</v>
      </c>
      <c r="S248">
        <v>0</v>
      </c>
    </row>
    <row r="249" spans="1:19" x14ac:dyDescent="0.25">
      <c r="A249" s="3">
        <v>1001</v>
      </c>
      <c r="B249" s="4" t="s">
        <v>21</v>
      </c>
      <c r="C249" s="4" t="str">
        <f t="shared" si="17"/>
        <v>16</v>
      </c>
      <c r="D249" t="s">
        <v>207</v>
      </c>
      <c r="E249" s="3" t="str">
        <f>"160120000"</f>
        <v>160120000</v>
      </c>
      <c r="F249" t="s">
        <v>214</v>
      </c>
      <c r="G249" t="s">
        <v>215</v>
      </c>
      <c r="H249" t="s">
        <v>216</v>
      </c>
      <c r="I249">
        <v>6</v>
      </c>
      <c r="J249" t="s">
        <v>32</v>
      </c>
      <c r="K249" s="1">
        <v>959869</v>
      </c>
      <c r="L249" s="1">
        <v>307711.43</v>
      </c>
      <c r="M249" s="1">
        <v>-652157.56999999995</v>
      </c>
      <c r="N249" s="1">
        <v>307711.2</v>
      </c>
      <c r="O249">
        <v>0.23</v>
      </c>
      <c r="P249" s="1">
        <v>307711.2</v>
      </c>
      <c r="Q249">
        <v>0</v>
      </c>
      <c r="R249" s="1">
        <v>307711.2</v>
      </c>
      <c r="S249">
        <v>0</v>
      </c>
    </row>
    <row r="250" spans="1:19" x14ac:dyDescent="0.25">
      <c r="A250" s="3">
        <v>1001</v>
      </c>
      <c r="B250" s="4" t="s">
        <v>21</v>
      </c>
      <c r="C250" s="4" t="str">
        <f t="shared" si="17"/>
        <v>16</v>
      </c>
      <c r="D250" t="s">
        <v>207</v>
      </c>
      <c r="E250" s="3" t="str">
        <f>"160120000"</f>
        <v>160120000</v>
      </c>
      <c r="F250" t="s">
        <v>214</v>
      </c>
      <c r="G250" t="s">
        <v>215</v>
      </c>
      <c r="H250" t="s">
        <v>216</v>
      </c>
      <c r="I250">
        <v>7</v>
      </c>
      <c r="J250" t="s">
        <v>40</v>
      </c>
      <c r="K250" s="1">
        <v>1189834</v>
      </c>
      <c r="L250" s="1">
        <v>384874.91</v>
      </c>
      <c r="M250" s="1">
        <v>-804959.09</v>
      </c>
      <c r="N250" s="1">
        <v>384873.95</v>
      </c>
      <c r="O250">
        <v>0.96</v>
      </c>
      <c r="P250" s="1">
        <v>380048.95</v>
      </c>
      <c r="Q250" s="1">
        <v>4825</v>
      </c>
      <c r="R250" s="1">
        <v>257156.04</v>
      </c>
      <c r="S250" s="1">
        <v>122892.91</v>
      </c>
    </row>
    <row r="251" spans="1:19" x14ac:dyDescent="0.25">
      <c r="A251" s="3">
        <v>1001</v>
      </c>
      <c r="B251" s="4" t="s">
        <v>21</v>
      </c>
      <c r="C251" s="4" t="str">
        <f t="shared" si="17"/>
        <v>16</v>
      </c>
      <c r="D251" t="s">
        <v>207</v>
      </c>
      <c r="E251" s="3" t="str">
        <f t="shared" ref="E251:E256" si="20">"160140000"</f>
        <v>160140000</v>
      </c>
      <c r="F251" t="s">
        <v>217</v>
      </c>
      <c r="G251" t="s">
        <v>218</v>
      </c>
      <c r="H251" t="s">
        <v>219</v>
      </c>
      <c r="I251">
        <v>1</v>
      </c>
      <c r="J251" t="s">
        <v>25</v>
      </c>
      <c r="K251" s="1">
        <v>14185899</v>
      </c>
      <c r="L251" s="1">
        <v>10983528.59</v>
      </c>
      <c r="M251" s="1">
        <v>-3202370.41</v>
      </c>
      <c r="N251" s="1">
        <v>10983522.74</v>
      </c>
      <c r="O251">
        <v>5.85</v>
      </c>
      <c r="P251" s="1">
        <v>10983522.74</v>
      </c>
      <c r="Q251">
        <v>0</v>
      </c>
      <c r="R251" s="1">
        <v>10983522.74</v>
      </c>
      <c r="S251">
        <v>0</v>
      </c>
    </row>
    <row r="252" spans="1:19" x14ac:dyDescent="0.25">
      <c r="A252" s="3">
        <v>1001</v>
      </c>
      <c r="B252" s="4" t="s">
        <v>21</v>
      </c>
      <c r="C252" s="4" t="str">
        <f t="shared" si="17"/>
        <v>16</v>
      </c>
      <c r="D252" t="s">
        <v>207</v>
      </c>
      <c r="E252" s="3" t="str">
        <f t="shared" si="20"/>
        <v>160140000</v>
      </c>
      <c r="F252" t="s">
        <v>217</v>
      </c>
      <c r="G252" t="s">
        <v>218</v>
      </c>
      <c r="H252" t="s">
        <v>219</v>
      </c>
      <c r="I252">
        <v>2</v>
      </c>
      <c r="J252" t="s">
        <v>26</v>
      </c>
      <c r="K252" s="1">
        <v>9786032</v>
      </c>
      <c r="L252" s="1">
        <v>10400148.189999999</v>
      </c>
      <c r="M252" s="1">
        <v>614116.18999999994</v>
      </c>
      <c r="N252" s="1">
        <v>9679210.9800000004</v>
      </c>
      <c r="O252" s="1">
        <v>720937.21</v>
      </c>
      <c r="P252" s="1">
        <v>9625291.9399999995</v>
      </c>
      <c r="Q252" s="1">
        <v>53919.040000000001</v>
      </c>
      <c r="R252" s="1">
        <v>8825733.7899999991</v>
      </c>
      <c r="S252" s="1">
        <v>799558.15</v>
      </c>
    </row>
    <row r="253" spans="1:19" x14ac:dyDescent="0.25">
      <c r="A253" s="3">
        <v>1001</v>
      </c>
      <c r="B253" s="4" t="s">
        <v>21</v>
      </c>
      <c r="C253" s="4" t="str">
        <f t="shared" si="17"/>
        <v>16</v>
      </c>
      <c r="D253" t="s">
        <v>207</v>
      </c>
      <c r="E253" s="3" t="str">
        <f t="shared" si="20"/>
        <v>160140000</v>
      </c>
      <c r="F253" t="s">
        <v>217</v>
      </c>
      <c r="G253" t="s">
        <v>218</v>
      </c>
      <c r="H253" t="s">
        <v>219</v>
      </c>
      <c r="I253">
        <v>3</v>
      </c>
      <c r="J253" t="s">
        <v>39</v>
      </c>
      <c r="K253">
        <v>0</v>
      </c>
      <c r="L253">
        <v>250</v>
      </c>
      <c r="M253">
        <v>250</v>
      </c>
      <c r="N253">
        <v>229.12</v>
      </c>
      <c r="O253">
        <v>20.88</v>
      </c>
      <c r="P253">
        <v>229.12</v>
      </c>
      <c r="Q253">
        <v>0</v>
      </c>
      <c r="R253">
        <v>229.12</v>
      </c>
      <c r="S253">
        <v>0</v>
      </c>
    </row>
    <row r="254" spans="1:19" x14ac:dyDescent="0.25">
      <c r="A254" s="3">
        <v>1001</v>
      </c>
      <c r="B254" s="4" t="s">
        <v>21</v>
      </c>
      <c r="C254" s="4" t="str">
        <f t="shared" si="17"/>
        <v>16</v>
      </c>
      <c r="D254" t="s">
        <v>207</v>
      </c>
      <c r="E254" s="3" t="str">
        <f t="shared" si="20"/>
        <v>160140000</v>
      </c>
      <c r="F254" t="s">
        <v>217</v>
      </c>
      <c r="G254" t="s">
        <v>218</v>
      </c>
      <c r="H254" t="s">
        <v>219</v>
      </c>
      <c r="I254">
        <v>4</v>
      </c>
      <c r="J254" t="s">
        <v>36</v>
      </c>
      <c r="K254" s="1">
        <v>5629965</v>
      </c>
      <c r="L254" s="1">
        <v>12950335</v>
      </c>
      <c r="M254" s="1">
        <v>7320370</v>
      </c>
      <c r="N254" s="1">
        <v>12047767.93</v>
      </c>
      <c r="O254" s="1">
        <v>902567.07</v>
      </c>
      <c r="P254" s="1">
        <v>11794818.58</v>
      </c>
      <c r="Q254" s="1">
        <v>252949.35</v>
      </c>
      <c r="R254" s="1">
        <v>11748441.4</v>
      </c>
      <c r="S254" s="1">
        <v>46377.18</v>
      </c>
    </row>
    <row r="255" spans="1:19" x14ac:dyDescent="0.25">
      <c r="A255" s="3">
        <v>1001</v>
      </c>
      <c r="B255" s="4" t="s">
        <v>21</v>
      </c>
      <c r="C255" s="4" t="str">
        <f t="shared" si="17"/>
        <v>16</v>
      </c>
      <c r="D255" t="s">
        <v>207</v>
      </c>
      <c r="E255" s="3" t="str">
        <f t="shared" si="20"/>
        <v>160140000</v>
      </c>
      <c r="F255" t="s">
        <v>217</v>
      </c>
      <c r="G255" t="s">
        <v>218</v>
      </c>
      <c r="H255" t="s">
        <v>219</v>
      </c>
      <c r="I255">
        <v>6</v>
      </c>
      <c r="J255" t="s">
        <v>32</v>
      </c>
      <c r="K255" s="1">
        <v>5725023</v>
      </c>
      <c r="L255" s="1">
        <v>5421500.2300000004</v>
      </c>
      <c r="M255" s="1">
        <v>-303522.77</v>
      </c>
      <c r="N255" s="1">
        <v>2833628.52</v>
      </c>
      <c r="O255" s="1">
        <v>2587871.71</v>
      </c>
      <c r="P255" s="1">
        <v>2833627.52</v>
      </c>
      <c r="Q255">
        <v>1</v>
      </c>
      <c r="R255" s="1">
        <v>2731370.75</v>
      </c>
      <c r="S255" s="1">
        <v>102256.77</v>
      </c>
    </row>
    <row r="256" spans="1:19" x14ac:dyDescent="0.25">
      <c r="A256" s="3">
        <v>1001</v>
      </c>
      <c r="B256" s="4" t="s">
        <v>21</v>
      </c>
      <c r="C256" s="4" t="str">
        <f t="shared" si="17"/>
        <v>16</v>
      </c>
      <c r="D256" t="s">
        <v>207</v>
      </c>
      <c r="E256" s="3" t="str">
        <f t="shared" si="20"/>
        <v>160140000</v>
      </c>
      <c r="F256" t="s">
        <v>217</v>
      </c>
      <c r="G256" t="s">
        <v>218</v>
      </c>
      <c r="H256" t="s">
        <v>219</v>
      </c>
      <c r="I256">
        <v>7</v>
      </c>
      <c r="J256" t="s">
        <v>40</v>
      </c>
      <c r="K256" s="1">
        <v>26520285</v>
      </c>
      <c r="L256" s="1">
        <v>26395541.809999999</v>
      </c>
      <c r="M256" s="1">
        <v>-124743.19</v>
      </c>
      <c r="N256" s="1">
        <v>8953173.7599999998</v>
      </c>
      <c r="O256" s="1">
        <v>17442368.050000001</v>
      </c>
      <c r="P256" s="1">
        <v>6289275.2000000002</v>
      </c>
      <c r="Q256" s="1">
        <v>2663898.56</v>
      </c>
      <c r="R256" s="1">
        <v>5486451.6600000001</v>
      </c>
      <c r="S256" s="1">
        <v>802823.54</v>
      </c>
    </row>
    <row r="257" spans="1:19" x14ac:dyDescent="0.25">
      <c r="A257" s="3">
        <v>1001</v>
      </c>
      <c r="B257" s="4" t="s">
        <v>21</v>
      </c>
      <c r="C257" s="4" t="str">
        <f t="shared" si="17"/>
        <v>16</v>
      </c>
      <c r="D257" t="s">
        <v>207</v>
      </c>
      <c r="E257" s="3" t="str">
        <f>"160150000"</f>
        <v>160150000</v>
      </c>
      <c r="F257" t="s">
        <v>220</v>
      </c>
      <c r="G257" t="s">
        <v>221</v>
      </c>
      <c r="H257" t="s">
        <v>222</v>
      </c>
      <c r="I257">
        <v>1</v>
      </c>
      <c r="J257" t="s">
        <v>25</v>
      </c>
      <c r="K257" s="1">
        <v>7945053</v>
      </c>
      <c r="L257" s="1">
        <v>6342706.79</v>
      </c>
      <c r="M257" s="1">
        <v>-1602346.21</v>
      </c>
      <c r="N257" s="1">
        <v>6342702.6200000001</v>
      </c>
      <c r="O257">
        <v>4.17</v>
      </c>
      <c r="P257" s="1">
        <v>6342702.6200000001</v>
      </c>
      <c r="Q257">
        <v>0</v>
      </c>
      <c r="R257" s="1">
        <v>6342702.6200000001</v>
      </c>
      <c r="S257">
        <v>0</v>
      </c>
    </row>
    <row r="258" spans="1:19" x14ac:dyDescent="0.25">
      <c r="A258" s="3">
        <v>1001</v>
      </c>
      <c r="B258" s="4" t="s">
        <v>21</v>
      </c>
      <c r="C258" s="4" t="str">
        <f t="shared" si="17"/>
        <v>16</v>
      </c>
      <c r="D258" t="s">
        <v>207</v>
      </c>
      <c r="E258" s="3" t="str">
        <f>"160150000"</f>
        <v>160150000</v>
      </c>
      <c r="F258" t="s">
        <v>220</v>
      </c>
      <c r="G258" t="s">
        <v>221</v>
      </c>
      <c r="H258" t="s">
        <v>222</v>
      </c>
      <c r="I258">
        <v>2</v>
      </c>
      <c r="J258" t="s">
        <v>26</v>
      </c>
      <c r="K258" s="1">
        <v>2230003</v>
      </c>
      <c r="L258" s="1">
        <v>3464037.16</v>
      </c>
      <c r="M258" s="1">
        <v>1234034.1599999999</v>
      </c>
      <c r="N258" s="1">
        <v>3398845.96</v>
      </c>
      <c r="O258" s="1">
        <v>65191.199999999997</v>
      </c>
      <c r="P258" s="1">
        <v>3398845.96</v>
      </c>
      <c r="Q258">
        <v>0</v>
      </c>
      <c r="R258" s="1">
        <v>3104253.1</v>
      </c>
      <c r="S258" s="1">
        <v>294592.86</v>
      </c>
    </row>
    <row r="259" spans="1:19" x14ac:dyDescent="0.25">
      <c r="A259" s="3">
        <v>1001</v>
      </c>
      <c r="B259" s="4" t="s">
        <v>21</v>
      </c>
      <c r="C259" s="4" t="str">
        <f t="shared" si="17"/>
        <v>16</v>
      </c>
      <c r="D259" t="s">
        <v>207</v>
      </c>
      <c r="E259" s="3" t="str">
        <f>"160150000"</f>
        <v>160150000</v>
      </c>
      <c r="F259" t="s">
        <v>220</v>
      </c>
      <c r="G259" t="s">
        <v>221</v>
      </c>
      <c r="H259" t="s">
        <v>222</v>
      </c>
      <c r="I259">
        <v>4</v>
      </c>
      <c r="J259" t="s">
        <v>36</v>
      </c>
      <c r="K259" s="1">
        <v>4650000</v>
      </c>
      <c r="L259" s="1">
        <v>9618029.7100000009</v>
      </c>
      <c r="M259" s="1">
        <v>4968029.71</v>
      </c>
      <c r="N259" s="1">
        <v>9618029.7100000009</v>
      </c>
      <c r="O259">
        <v>0</v>
      </c>
      <c r="P259" s="1">
        <v>9618029.7100000009</v>
      </c>
      <c r="Q259">
        <v>0</v>
      </c>
      <c r="R259" s="1">
        <v>9618029.7100000009</v>
      </c>
      <c r="S259">
        <v>0</v>
      </c>
    </row>
    <row r="260" spans="1:19" x14ac:dyDescent="0.25">
      <c r="A260" s="3">
        <v>1001</v>
      </c>
      <c r="B260" s="4" t="s">
        <v>21</v>
      </c>
      <c r="C260" s="4" t="str">
        <f t="shared" si="17"/>
        <v>16</v>
      </c>
      <c r="D260" t="s">
        <v>207</v>
      </c>
      <c r="E260" s="3" t="str">
        <f>"160150000"</f>
        <v>160150000</v>
      </c>
      <c r="F260" t="s">
        <v>220</v>
      </c>
      <c r="G260" t="s">
        <v>221</v>
      </c>
      <c r="H260" t="s">
        <v>222</v>
      </c>
      <c r="I260">
        <v>6</v>
      </c>
      <c r="J260" t="s">
        <v>32</v>
      </c>
      <c r="K260" s="1">
        <v>944263</v>
      </c>
      <c r="L260" s="1">
        <v>868443.26</v>
      </c>
      <c r="M260" s="1">
        <v>-75819.740000000005</v>
      </c>
      <c r="N260" s="1">
        <v>868443.26</v>
      </c>
      <c r="O260">
        <v>0</v>
      </c>
      <c r="P260" s="1">
        <v>868443.26</v>
      </c>
      <c r="Q260">
        <v>0</v>
      </c>
      <c r="R260" s="1">
        <v>799291.23</v>
      </c>
      <c r="S260" s="1">
        <v>69152.03</v>
      </c>
    </row>
    <row r="261" spans="1:19" x14ac:dyDescent="0.25">
      <c r="A261" s="3">
        <v>1001</v>
      </c>
      <c r="B261" s="4" t="s">
        <v>21</v>
      </c>
      <c r="C261" s="4" t="str">
        <f t="shared" si="17"/>
        <v>16</v>
      </c>
      <c r="D261" t="s">
        <v>207</v>
      </c>
      <c r="E261" s="3" t="str">
        <f>"160150000"</f>
        <v>160150000</v>
      </c>
      <c r="F261" t="s">
        <v>220</v>
      </c>
      <c r="G261" t="s">
        <v>221</v>
      </c>
      <c r="H261" t="s">
        <v>222</v>
      </c>
      <c r="I261">
        <v>7</v>
      </c>
      <c r="J261" t="s">
        <v>40</v>
      </c>
      <c r="K261" s="1">
        <v>15800163</v>
      </c>
      <c r="L261" s="1">
        <v>204708925.34999999</v>
      </c>
      <c r="M261" s="1">
        <v>188908762.34999999</v>
      </c>
      <c r="N261" s="1">
        <v>199678556.27000001</v>
      </c>
      <c r="O261" s="1">
        <v>5030369.08</v>
      </c>
      <c r="P261" s="1">
        <v>199520897.12</v>
      </c>
      <c r="Q261" s="1">
        <v>157659.15</v>
      </c>
      <c r="R261" s="1">
        <v>191539691.93000001</v>
      </c>
      <c r="S261" s="1">
        <v>7981205.1900000004</v>
      </c>
    </row>
    <row r="262" spans="1:19" x14ac:dyDescent="0.25">
      <c r="A262" s="3">
        <v>1001</v>
      </c>
      <c r="B262" s="4" t="s">
        <v>21</v>
      </c>
      <c r="C262" s="4" t="str">
        <f t="shared" si="17"/>
        <v>16</v>
      </c>
      <c r="D262" t="s">
        <v>207</v>
      </c>
      <c r="E262" s="3" t="str">
        <f>"160170000"</f>
        <v>160170000</v>
      </c>
      <c r="F262" t="s">
        <v>223</v>
      </c>
      <c r="G262" t="s">
        <v>224</v>
      </c>
      <c r="H262" t="s">
        <v>225</v>
      </c>
      <c r="I262">
        <v>1</v>
      </c>
      <c r="J262" t="s">
        <v>25</v>
      </c>
      <c r="K262" s="1">
        <v>10400056</v>
      </c>
      <c r="L262" s="1">
        <v>9795639.7799999993</v>
      </c>
      <c r="M262" s="1">
        <v>-604416.22</v>
      </c>
      <c r="N262" s="1">
        <v>9795632.5600000005</v>
      </c>
      <c r="O262">
        <v>7.22</v>
      </c>
      <c r="P262" s="1">
        <v>9795632.5600000005</v>
      </c>
      <c r="Q262">
        <v>0</v>
      </c>
      <c r="R262" s="1">
        <v>9795632.5600000005</v>
      </c>
      <c r="S262">
        <v>0</v>
      </c>
    </row>
    <row r="263" spans="1:19" x14ac:dyDescent="0.25">
      <c r="A263" s="3">
        <v>1001</v>
      </c>
      <c r="B263" s="4" t="s">
        <v>21</v>
      </c>
      <c r="C263" s="4" t="str">
        <f t="shared" si="17"/>
        <v>16</v>
      </c>
      <c r="D263" t="s">
        <v>207</v>
      </c>
      <c r="E263" s="3" t="str">
        <f>"160170000"</f>
        <v>160170000</v>
      </c>
      <c r="F263" t="s">
        <v>223</v>
      </c>
      <c r="G263" t="s">
        <v>224</v>
      </c>
      <c r="H263" t="s">
        <v>225</v>
      </c>
      <c r="I263">
        <v>2</v>
      </c>
      <c r="J263" t="s">
        <v>26</v>
      </c>
      <c r="K263" s="1">
        <v>5317440</v>
      </c>
      <c r="L263" s="1">
        <v>5199385.22</v>
      </c>
      <c r="M263" s="1">
        <v>-118054.78</v>
      </c>
      <c r="N263" s="1">
        <v>5070976.63</v>
      </c>
      <c r="O263" s="1">
        <v>128408.59</v>
      </c>
      <c r="P263" s="1">
        <v>5070976.63</v>
      </c>
      <c r="Q263">
        <v>0</v>
      </c>
      <c r="R263" s="1">
        <v>4879570.58</v>
      </c>
      <c r="S263" s="1">
        <v>191406.05</v>
      </c>
    </row>
    <row r="264" spans="1:19" x14ac:dyDescent="0.25">
      <c r="A264" s="3">
        <v>1001</v>
      </c>
      <c r="B264" s="4" t="s">
        <v>21</v>
      </c>
      <c r="C264" s="4" t="str">
        <f t="shared" si="17"/>
        <v>16</v>
      </c>
      <c r="D264" t="s">
        <v>207</v>
      </c>
      <c r="E264" s="3" t="str">
        <f>"160170000"</f>
        <v>160170000</v>
      </c>
      <c r="F264" t="s">
        <v>223</v>
      </c>
      <c r="G264" t="s">
        <v>224</v>
      </c>
      <c r="H264" t="s">
        <v>225</v>
      </c>
      <c r="I264">
        <v>4</v>
      </c>
      <c r="J264" t="s">
        <v>36</v>
      </c>
      <c r="K264" s="1">
        <v>6400000</v>
      </c>
      <c r="L264" s="1">
        <v>7529379.0599999996</v>
      </c>
      <c r="M264" s="1">
        <v>1129379.06</v>
      </c>
      <c r="N264" s="1">
        <v>7508490.7300000004</v>
      </c>
      <c r="O264" s="1">
        <v>20888.330000000002</v>
      </c>
      <c r="P264" s="1">
        <v>7272814.0099999998</v>
      </c>
      <c r="Q264" s="1">
        <v>235676.72</v>
      </c>
      <c r="R264" s="1">
        <v>7018568.7699999996</v>
      </c>
      <c r="S264" s="1">
        <v>254245.24</v>
      </c>
    </row>
    <row r="265" spans="1:19" x14ac:dyDescent="0.25">
      <c r="A265" s="3">
        <v>1001</v>
      </c>
      <c r="B265" s="4" t="s">
        <v>21</v>
      </c>
      <c r="C265" s="4" t="str">
        <f t="shared" si="17"/>
        <v>16</v>
      </c>
      <c r="D265" t="s">
        <v>207</v>
      </c>
      <c r="E265" s="3" t="str">
        <f>"160170000"</f>
        <v>160170000</v>
      </c>
      <c r="F265" t="s">
        <v>223</v>
      </c>
      <c r="G265" t="s">
        <v>224</v>
      </c>
      <c r="H265" t="s">
        <v>225</v>
      </c>
      <c r="I265">
        <v>6</v>
      </c>
      <c r="J265" t="s">
        <v>32</v>
      </c>
      <c r="K265" s="1">
        <v>7802639</v>
      </c>
      <c r="L265" s="1">
        <v>5101174.4800000004</v>
      </c>
      <c r="M265" s="1">
        <v>-2701464.52</v>
      </c>
      <c r="N265" s="1">
        <v>3982715.34</v>
      </c>
      <c r="O265" s="1">
        <v>1118459.1399999999</v>
      </c>
      <c r="P265" s="1">
        <v>3982715.34</v>
      </c>
      <c r="Q265">
        <v>0</v>
      </c>
      <c r="R265" s="1">
        <v>3966977.84</v>
      </c>
      <c r="S265" s="1">
        <v>15737.5</v>
      </c>
    </row>
    <row r="266" spans="1:19" x14ac:dyDescent="0.25">
      <c r="A266" s="3">
        <v>1001</v>
      </c>
      <c r="B266" s="4" t="s">
        <v>21</v>
      </c>
      <c r="C266" s="4" t="str">
        <f t="shared" si="17"/>
        <v>16</v>
      </c>
      <c r="D266" t="s">
        <v>207</v>
      </c>
      <c r="E266" s="3" t="str">
        <f>"160170000"</f>
        <v>160170000</v>
      </c>
      <c r="F266" t="s">
        <v>223</v>
      </c>
      <c r="G266" t="s">
        <v>224</v>
      </c>
      <c r="H266" t="s">
        <v>225</v>
      </c>
      <c r="I266">
        <v>7</v>
      </c>
      <c r="J266" t="s">
        <v>40</v>
      </c>
      <c r="K266" s="1">
        <v>73860394</v>
      </c>
      <c r="L266" s="1">
        <v>69970698.879999995</v>
      </c>
      <c r="M266" s="1">
        <v>-3889695.12</v>
      </c>
      <c r="N266" s="1">
        <v>61098177.210000001</v>
      </c>
      <c r="O266" s="1">
        <v>8872521.6699999999</v>
      </c>
      <c r="P266" s="1">
        <v>61098177.210000001</v>
      </c>
      <c r="Q266">
        <v>0</v>
      </c>
      <c r="R266" s="1">
        <v>37555795.039999999</v>
      </c>
      <c r="S266" s="1">
        <v>23542382.170000002</v>
      </c>
    </row>
    <row r="267" spans="1:19" x14ac:dyDescent="0.25">
      <c r="A267" s="3">
        <v>1001</v>
      </c>
      <c r="B267" s="4" t="s">
        <v>21</v>
      </c>
      <c r="C267" s="4" t="str">
        <f t="shared" si="17"/>
        <v>16</v>
      </c>
      <c r="D267" t="s">
        <v>207</v>
      </c>
      <c r="E267" s="3" t="str">
        <f>"160180000"</f>
        <v>160180000</v>
      </c>
      <c r="F267" t="s">
        <v>226</v>
      </c>
      <c r="G267" t="s">
        <v>227</v>
      </c>
      <c r="H267" t="s">
        <v>228</v>
      </c>
      <c r="I267">
        <v>1</v>
      </c>
      <c r="J267" t="s">
        <v>25</v>
      </c>
      <c r="K267" s="1">
        <v>3089217</v>
      </c>
      <c r="L267" s="1">
        <v>2520280.4700000002</v>
      </c>
      <c r="M267" s="1">
        <v>-568936.53</v>
      </c>
      <c r="N267" s="1">
        <v>2520275.42</v>
      </c>
      <c r="O267">
        <v>5.05</v>
      </c>
      <c r="P267" s="1">
        <v>2520275.42</v>
      </c>
      <c r="Q267">
        <v>0</v>
      </c>
      <c r="R267" s="1">
        <v>2520275.42</v>
      </c>
      <c r="S267">
        <v>0</v>
      </c>
    </row>
    <row r="268" spans="1:19" x14ac:dyDescent="0.25">
      <c r="A268" s="3">
        <v>1001</v>
      </c>
      <c r="B268" s="4" t="s">
        <v>21</v>
      </c>
      <c r="C268" s="4" t="str">
        <f t="shared" si="17"/>
        <v>16</v>
      </c>
      <c r="D268" t="s">
        <v>207</v>
      </c>
      <c r="E268" s="3" t="str">
        <f>"160180000"</f>
        <v>160180000</v>
      </c>
      <c r="F268" t="s">
        <v>226</v>
      </c>
      <c r="G268" t="s">
        <v>227</v>
      </c>
      <c r="H268" t="s">
        <v>228</v>
      </c>
      <c r="I268">
        <v>2</v>
      </c>
      <c r="J268" t="s">
        <v>26</v>
      </c>
      <c r="K268" s="1">
        <v>1016500</v>
      </c>
      <c r="L268" s="1">
        <v>641500</v>
      </c>
      <c r="M268" s="1">
        <v>-375000</v>
      </c>
      <c r="N268" s="1">
        <v>617453.57999999996</v>
      </c>
      <c r="O268" s="1">
        <v>24046.42</v>
      </c>
      <c r="P268" s="1">
        <v>617453.57999999996</v>
      </c>
      <c r="Q268">
        <v>0</v>
      </c>
      <c r="R268" s="1">
        <v>617153.57999999996</v>
      </c>
      <c r="S268">
        <v>300</v>
      </c>
    </row>
    <row r="269" spans="1:19" x14ac:dyDescent="0.25">
      <c r="A269" s="3">
        <v>1001</v>
      </c>
      <c r="B269" s="4" t="s">
        <v>21</v>
      </c>
      <c r="C269" s="4" t="str">
        <f t="shared" si="17"/>
        <v>16</v>
      </c>
      <c r="D269" t="s">
        <v>207</v>
      </c>
      <c r="E269" s="3" t="str">
        <f>"160180000"</f>
        <v>160180000</v>
      </c>
      <c r="F269" t="s">
        <v>226</v>
      </c>
      <c r="G269" t="s">
        <v>227</v>
      </c>
      <c r="H269" t="s">
        <v>228</v>
      </c>
      <c r="I269">
        <v>6</v>
      </c>
      <c r="J269" t="s">
        <v>32</v>
      </c>
      <c r="K269" s="1">
        <v>1815000</v>
      </c>
      <c r="L269" s="1">
        <v>2320000</v>
      </c>
      <c r="M269" s="1">
        <v>505000</v>
      </c>
      <c r="N269" s="1">
        <v>2304139.65</v>
      </c>
      <c r="O269" s="1">
        <v>15860.35</v>
      </c>
      <c r="P269" s="1">
        <v>2304139.65</v>
      </c>
      <c r="Q269">
        <v>0</v>
      </c>
      <c r="R269" s="1">
        <v>2103032.06</v>
      </c>
      <c r="S269" s="1">
        <v>201107.59</v>
      </c>
    </row>
    <row r="270" spans="1:19" x14ac:dyDescent="0.25">
      <c r="A270" s="3">
        <v>1001</v>
      </c>
      <c r="B270" s="4" t="s">
        <v>21</v>
      </c>
      <c r="C270" s="4" t="str">
        <f t="shared" si="17"/>
        <v>16</v>
      </c>
      <c r="D270" t="s">
        <v>207</v>
      </c>
      <c r="E270" s="3" t="str">
        <f>"160180000"</f>
        <v>160180000</v>
      </c>
      <c r="F270" t="s">
        <v>226</v>
      </c>
      <c r="G270" t="s">
        <v>227</v>
      </c>
      <c r="H270" t="s">
        <v>228</v>
      </c>
      <c r="I270">
        <v>8</v>
      </c>
      <c r="J270" t="s">
        <v>27</v>
      </c>
      <c r="K270" s="1">
        <v>1200000</v>
      </c>
      <c r="L270" s="1">
        <v>900000</v>
      </c>
      <c r="M270" s="1">
        <v>-300000</v>
      </c>
      <c r="N270" s="1">
        <v>900000</v>
      </c>
      <c r="O270">
        <v>0</v>
      </c>
      <c r="P270" s="1">
        <v>900000</v>
      </c>
      <c r="Q270">
        <v>0</v>
      </c>
      <c r="R270" s="1">
        <v>900000</v>
      </c>
      <c r="S270">
        <v>0</v>
      </c>
    </row>
    <row r="271" spans="1:19" x14ac:dyDescent="0.25">
      <c r="A271" s="3">
        <v>1001</v>
      </c>
      <c r="B271" s="4" t="s">
        <v>21</v>
      </c>
      <c r="C271" s="4" t="str">
        <f t="shared" si="17"/>
        <v>16</v>
      </c>
      <c r="D271" t="s">
        <v>207</v>
      </c>
      <c r="E271" s="3" t="str">
        <f t="shared" ref="E271:E277" si="21">"160190000"</f>
        <v>160190000</v>
      </c>
      <c r="F271" t="s">
        <v>229</v>
      </c>
      <c r="G271" t="s">
        <v>230</v>
      </c>
      <c r="H271" t="s">
        <v>231</v>
      </c>
      <c r="I271">
        <v>1</v>
      </c>
      <c r="J271" t="s">
        <v>25</v>
      </c>
      <c r="K271" s="1">
        <v>12932848</v>
      </c>
      <c r="L271" s="1">
        <v>12035615.310000001</v>
      </c>
      <c r="M271" s="1">
        <v>-897232.69</v>
      </c>
      <c r="N271" s="1">
        <v>12035611.560000001</v>
      </c>
      <c r="O271">
        <v>3.75</v>
      </c>
      <c r="P271" s="1">
        <v>12035611.560000001</v>
      </c>
      <c r="Q271">
        <v>0</v>
      </c>
      <c r="R271" s="1">
        <v>12035611.560000001</v>
      </c>
      <c r="S271">
        <v>0</v>
      </c>
    </row>
    <row r="272" spans="1:19" x14ac:dyDescent="0.25">
      <c r="A272" s="3">
        <v>1001</v>
      </c>
      <c r="B272" s="4" t="s">
        <v>21</v>
      </c>
      <c r="C272" s="4" t="str">
        <f t="shared" si="17"/>
        <v>16</v>
      </c>
      <c r="D272" t="s">
        <v>207</v>
      </c>
      <c r="E272" s="3" t="str">
        <f t="shared" si="21"/>
        <v>160190000</v>
      </c>
      <c r="F272" t="s">
        <v>229</v>
      </c>
      <c r="G272" t="s">
        <v>230</v>
      </c>
      <c r="H272" t="s">
        <v>231</v>
      </c>
      <c r="I272">
        <v>2</v>
      </c>
      <c r="J272" t="s">
        <v>26</v>
      </c>
      <c r="K272" s="1">
        <v>3337415</v>
      </c>
      <c r="L272" s="1">
        <v>5182149.0999999996</v>
      </c>
      <c r="M272" s="1">
        <v>1844734.1</v>
      </c>
      <c r="N272" s="1">
        <v>4472835.95</v>
      </c>
      <c r="O272" s="1">
        <v>709313.15</v>
      </c>
      <c r="P272" s="1">
        <v>4472835.95</v>
      </c>
      <c r="Q272">
        <v>0</v>
      </c>
      <c r="R272" s="1">
        <v>3790276.1</v>
      </c>
      <c r="S272" s="1">
        <v>682559.85</v>
      </c>
    </row>
    <row r="273" spans="1:19" x14ac:dyDescent="0.25">
      <c r="A273" s="3">
        <v>1001</v>
      </c>
      <c r="B273" s="4" t="s">
        <v>21</v>
      </c>
      <c r="C273" s="4" t="str">
        <f t="shared" si="17"/>
        <v>16</v>
      </c>
      <c r="D273" t="s">
        <v>207</v>
      </c>
      <c r="E273" s="3" t="str">
        <f t="shared" si="21"/>
        <v>160190000</v>
      </c>
      <c r="F273" t="s">
        <v>229</v>
      </c>
      <c r="G273" t="s">
        <v>230</v>
      </c>
      <c r="H273" t="s">
        <v>231</v>
      </c>
      <c r="I273">
        <v>3</v>
      </c>
      <c r="J273" t="s">
        <v>39</v>
      </c>
      <c r="K273">
        <v>0</v>
      </c>
      <c r="L273">
        <v>870.37</v>
      </c>
      <c r="M273">
        <v>870.37</v>
      </c>
      <c r="N273">
        <v>868.38</v>
      </c>
      <c r="O273">
        <v>1.99</v>
      </c>
      <c r="P273">
        <v>868.38</v>
      </c>
      <c r="Q273">
        <v>0</v>
      </c>
      <c r="R273">
        <v>868.38</v>
      </c>
      <c r="S273">
        <v>0</v>
      </c>
    </row>
    <row r="274" spans="1:19" x14ac:dyDescent="0.25">
      <c r="A274" s="3">
        <v>1001</v>
      </c>
      <c r="B274" s="4" t="s">
        <v>21</v>
      </c>
      <c r="C274" s="4" t="str">
        <f t="shared" si="17"/>
        <v>16</v>
      </c>
      <c r="D274" t="s">
        <v>207</v>
      </c>
      <c r="E274" s="3" t="str">
        <f t="shared" si="21"/>
        <v>160190000</v>
      </c>
      <c r="F274" t="s">
        <v>229</v>
      </c>
      <c r="G274" t="s">
        <v>230</v>
      </c>
      <c r="H274" t="s">
        <v>231</v>
      </c>
      <c r="I274">
        <v>4</v>
      </c>
      <c r="J274" t="s">
        <v>36</v>
      </c>
      <c r="K274" s="1">
        <v>35757993</v>
      </c>
      <c r="L274" s="1">
        <v>83759507.780000001</v>
      </c>
      <c r="M274" s="1">
        <v>48001514.780000001</v>
      </c>
      <c r="N274" s="1">
        <v>72709418.099999994</v>
      </c>
      <c r="O274" s="1">
        <v>11050089.68</v>
      </c>
      <c r="P274" s="1">
        <v>72113661.170000002</v>
      </c>
      <c r="Q274" s="1">
        <v>595756.93000000005</v>
      </c>
      <c r="R274" s="1">
        <v>29473873.109999999</v>
      </c>
      <c r="S274" s="1">
        <v>42639788.060000002</v>
      </c>
    </row>
    <row r="275" spans="1:19" x14ac:dyDescent="0.25">
      <c r="A275" s="3">
        <v>1001</v>
      </c>
      <c r="B275" s="4" t="s">
        <v>21</v>
      </c>
      <c r="C275" s="4" t="str">
        <f t="shared" si="17"/>
        <v>16</v>
      </c>
      <c r="D275" t="s">
        <v>207</v>
      </c>
      <c r="E275" s="3" t="str">
        <f t="shared" si="21"/>
        <v>160190000</v>
      </c>
      <c r="F275" t="s">
        <v>229</v>
      </c>
      <c r="G275" t="s">
        <v>230</v>
      </c>
      <c r="H275" t="s">
        <v>231</v>
      </c>
      <c r="I275">
        <v>6</v>
      </c>
      <c r="J275" t="s">
        <v>32</v>
      </c>
      <c r="K275" s="1">
        <v>5944293</v>
      </c>
      <c r="L275" s="1">
        <v>4411188</v>
      </c>
      <c r="M275" s="1">
        <v>-1533105</v>
      </c>
      <c r="N275" s="1">
        <v>664183.37</v>
      </c>
      <c r="O275" s="1">
        <v>3747004.63</v>
      </c>
      <c r="P275" s="1">
        <v>664183.37</v>
      </c>
      <c r="Q275">
        <v>0</v>
      </c>
      <c r="R275" s="1">
        <v>418001.15</v>
      </c>
      <c r="S275" s="1">
        <v>246182.22</v>
      </c>
    </row>
    <row r="276" spans="1:19" x14ac:dyDescent="0.25">
      <c r="A276" s="3">
        <v>1001</v>
      </c>
      <c r="B276" s="4" t="s">
        <v>21</v>
      </c>
      <c r="C276" s="4" t="str">
        <f t="shared" si="17"/>
        <v>16</v>
      </c>
      <c r="D276" t="s">
        <v>207</v>
      </c>
      <c r="E276" s="3" t="str">
        <f t="shared" si="21"/>
        <v>160190000</v>
      </c>
      <c r="F276" t="s">
        <v>229</v>
      </c>
      <c r="G276" t="s">
        <v>230</v>
      </c>
      <c r="H276" t="s">
        <v>231</v>
      </c>
      <c r="I276">
        <v>7</v>
      </c>
      <c r="J276" t="s">
        <v>40</v>
      </c>
      <c r="K276" s="1">
        <v>259224145</v>
      </c>
      <c r="L276" s="1">
        <v>337057662.01999998</v>
      </c>
      <c r="M276" s="1">
        <v>77833517.019999996</v>
      </c>
      <c r="N276" s="1">
        <v>300431574.19</v>
      </c>
      <c r="O276" s="1">
        <v>36626087.829999998</v>
      </c>
      <c r="P276" s="1">
        <v>215688606.47</v>
      </c>
      <c r="Q276" s="1">
        <v>84742967.719999999</v>
      </c>
      <c r="R276" s="1">
        <v>84053715.269999996</v>
      </c>
      <c r="S276" s="1">
        <v>131634891.2</v>
      </c>
    </row>
    <row r="277" spans="1:19" x14ac:dyDescent="0.25">
      <c r="A277" s="3">
        <v>1001</v>
      </c>
      <c r="B277" s="4" t="s">
        <v>21</v>
      </c>
      <c r="C277" s="4" t="str">
        <f t="shared" si="17"/>
        <v>16</v>
      </c>
      <c r="D277" t="s">
        <v>207</v>
      </c>
      <c r="E277" s="3" t="str">
        <f t="shared" si="21"/>
        <v>160190000</v>
      </c>
      <c r="F277" t="s">
        <v>229</v>
      </c>
      <c r="G277" t="s">
        <v>230</v>
      </c>
      <c r="H277" t="s">
        <v>231</v>
      </c>
      <c r="I277">
        <v>8</v>
      </c>
      <c r="J277" t="s">
        <v>27</v>
      </c>
      <c r="K277">
        <v>0</v>
      </c>
      <c r="L277" s="1">
        <v>18000000</v>
      </c>
      <c r="M277" s="1">
        <v>18000000</v>
      </c>
      <c r="N277" s="1">
        <v>18000000</v>
      </c>
      <c r="O277">
        <v>0</v>
      </c>
      <c r="P277" s="1">
        <v>18000000</v>
      </c>
      <c r="Q277">
        <v>0</v>
      </c>
      <c r="R277" s="1">
        <v>18000000</v>
      </c>
      <c r="S277">
        <v>0</v>
      </c>
    </row>
    <row r="278" spans="1:19" x14ac:dyDescent="0.25">
      <c r="A278" s="3">
        <v>1001</v>
      </c>
      <c r="B278" s="4" t="s">
        <v>21</v>
      </c>
      <c r="C278" s="4" t="str">
        <f t="shared" ref="C278:C298" si="22">"17"</f>
        <v>17</v>
      </c>
      <c r="D278" t="s">
        <v>232</v>
      </c>
      <c r="E278" s="3" t="str">
        <f>"170010000"</f>
        <v>170010000</v>
      </c>
      <c r="F278" t="s">
        <v>233</v>
      </c>
      <c r="G278" t="s">
        <v>234</v>
      </c>
      <c r="H278" t="s">
        <v>235</v>
      </c>
      <c r="I278">
        <v>1</v>
      </c>
      <c r="J278" t="s">
        <v>25</v>
      </c>
      <c r="K278" s="1">
        <v>16528997</v>
      </c>
      <c r="L278" s="1">
        <v>14168973.800000001</v>
      </c>
      <c r="M278" s="1">
        <v>-2360023.2000000002</v>
      </c>
      <c r="N278" s="1">
        <v>14141830.060000001</v>
      </c>
      <c r="O278" s="1">
        <v>27143.74</v>
      </c>
      <c r="P278" s="1">
        <v>14141830.060000001</v>
      </c>
      <c r="Q278">
        <v>0</v>
      </c>
      <c r="R278" s="1">
        <v>14141830.060000001</v>
      </c>
      <c r="S278">
        <v>0</v>
      </c>
    </row>
    <row r="279" spans="1:19" x14ac:dyDescent="0.25">
      <c r="A279" s="3">
        <v>1001</v>
      </c>
      <c r="B279" s="4" t="s">
        <v>21</v>
      </c>
      <c r="C279" s="4" t="str">
        <f t="shared" si="22"/>
        <v>17</v>
      </c>
      <c r="D279" t="s">
        <v>232</v>
      </c>
      <c r="E279" s="3" t="str">
        <f>"170010000"</f>
        <v>170010000</v>
      </c>
      <c r="F279" t="s">
        <v>233</v>
      </c>
      <c r="G279" t="s">
        <v>234</v>
      </c>
      <c r="H279" t="s">
        <v>235</v>
      </c>
      <c r="I279">
        <v>2</v>
      </c>
      <c r="J279" t="s">
        <v>26</v>
      </c>
      <c r="K279" s="1">
        <v>11694312</v>
      </c>
      <c r="L279" s="1">
        <v>9827194.9700000007</v>
      </c>
      <c r="M279" s="1">
        <v>-1867117.03</v>
      </c>
      <c r="N279" s="1">
        <v>9242939.3499999996</v>
      </c>
      <c r="O279" s="1">
        <v>584255.62</v>
      </c>
      <c r="P279" s="1">
        <v>9242939.3499999996</v>
      </c>
      <c r="Q279">
        <v>0</v>
      </c>
      <c r="R279" s="1">
        <v>8611718.8699999992</v>
      </c>
      <c r="S279" s="1">
        <v>631220.47999999998</v>
      </c>
    </row>
    <row r="280" spans="1:19" x14ac:dyDescent="0.25">
      <c r="A280" s="3">
        <v>1001</v>
      </c>
      <c r="B280" s="4" t="s">
        <v>21</v>
      </c>
      <c r="C280" s="4" t="str">
        <f t="shared" si="22"/>
        <v>17</v>
      </c>
      <c r="D280" t="s">
        <v>232</v>
      </c>
      <c r="E280" s="3" t="str">
        <f>"170010000"</f>
        <v>170010000</v>
      </c>
      <c r="F280" t="s">
        <v>233</v>
      </c>
      <c r="G280" t="s">
        <v>234</v>
      </c>
      <c r="H280" t="s">
        <v>235</v>
      </c>
      <c r="I280">
        <v>6</v>
      </c>
      <c r="J280" t="s">
        <v>32</v>
      </c>
      <c r="K280" s="1">
        <v>1396000</v>
      </c>
      <c r="L280" s="1">
        <v>408891.64</v>
      </c>
      <c r="M280" s="1">
        <v>-987108.36</v>
      </c>
      <c r="N280" s="1">
        <v>356694.21</v>
      </c>
      <c r="O280" s="1">
        <v>52197.43</v>
      </c>
      <c r="P280" s="1">
        <v>356694.21</v>
      </c>
      <c r="Q280">
        <v>0</v>
      </c>
      <c r="R280" s="1">
        <v>356694.21</v>
      </c>
      <c r="S280">
        <v>0</v>
      </c>
    </row>
    <row r="281" spans="1:19" x14ac:dyDescent="0.25">
      <c r="A281" s="3">
        <v>1001</v>
      </c>
      <c r="B281" s="4" t="s">
        <v>21</v>
      </c>
      <c r="C281" s="4" t="str">
        <f t="shared" si="22"/>
        <v>17</v>
      </c>
      <c r="D281" t="s">
        <v>232</v>
      </c>
      <c r="E281" s="3" t="str">
        <f>"170010000"</f>
        <v>170010000</v>
      </c>
      <c r="F281" t="s">
        <v>233</v>
      </c>
      <c r="G281" t="s">
        <v>234</v>
      </c>
      <c r="H281" t="s">
        <v>235</v>
      </c>
      <c r="I281">
        <v>8</v>
      </c>
      <c r="J281" t="s">
        <v>27</v>
      </c>
      <c r="K281" s="1">
        <v>182968</v>
      </c>
      <c r="L281" s="1">
        <v>32675</v>
      </c>
      <c r="M281" s="1">
        <v>-150293</v>
      </c>
      <c r="N281" s="1">
        <v>32675</v>
      </c>
      <c r="O281">
        <v>0</v>
      </c>
      <c r="P281" s="1">
        <v>32675</v>
      </c>
      <c r="Q281">
        <v>0</v>
      </c>
      <c r="R281" s="1">
        <v>32675</v>
      </c>
      <c r="S281">
        <v>0</v>
      </c>
    </row>
    <row r="282" spans="1:19" x14ac:dyDescent="0.25">
      <c r="A282" s="3">
        <v>1001</v>
      </c>
      <c r="B282" s="4" t="s">
        <v>21</v>
      </c>
      <c r="C282" s="4" t="str">
        <f t="shared" si="22"/>
        <v>17</v>
      </c>
      <c r="D282" t="s">
        <v>232</v>
      </c>
      <c r="E282" s="3" t="str">
        <f t="shared" ref="E282:E287" si="23">"170100000"</f>
        <v>170100000</v>
      </c>
      <c r="F282" t="s">
        <v>236</v>
      </c>
      <c r="G282" t="s">
        <v>237</v>
      </c>
      <c r="H282" t="s">
        <v>238</v>
      </c>
      <c r="I282">
        <v>1</v>
      </c>
      <c r="J282" t="s">
        <v>25</v>
      </c>
      <c r="K282" s="1">
        <v>6937565</v>
      </c>
      <c r="L282" s="1">
        <v>4142355.97</v>
      </c>
      <c r="M282" s="1">
        <v>-2795209.03</v>
      </c>
      <c r="N282" s="1">
        <v>3972643.76</v>
      </c>
      <c r="O282" s="1">
        <v>169712.21</v>
      </c>
      <c r="P282" s="1">
        <v>3972643.76</v>
      </c>
      <c r="Q282">
        <v>0</v>
      </c>
      <c r="R282" s="1">
        <v>3972643.76</v>
      </c>
      <c r="S282">
        <v>0</v>
      </c>
    </row>
    <row r="283" spans="1:19" x14ac:dyDescent="0.25">
      <c r="A283" s="3">
        <v>1001</v>
      </c>
      <c r="B283" s="4" t="s">
        <v>21</v>
      </c>
      <c r="C283" s="4" t="str">
        <f t="shared" si="22"/>
        <v>17</v>
      </c>
      <c r="D283" t="s">
        <v>232</v>
      </c>
      <c r="E283" s="3" t="str">
        <f t="shared" si="23"/>
        <v>170100000</v>
      </c>
      <c r="F283" t="s">
        <v>236</v>
      </c>
      <c r="G283" t="s">
        <v>237</v>
      </c>
      <c r="H283" t="s">
        <v>238</v>
      </c>
      <c r="I283">
        <v>2</v>
      </c>
      <c r="J283" t="s">
        <v>26</v>
      </c>
      <c r="K283" s="1">
        <v>389175</v>
      </c>
      <c r="L283" s="1">
        <v>626424.04</v>
      </c>
      <c r="M283" s="1">
        <v>237249.04</v>
      </c>
      <c r="N283" s="1">
        <v>570843.43000000005</v>
      </c>
      <c r="O283" s="1">
        <v>55580.61</v>
      </c>
      <c r="P283" s="1">
        <v>570843.43000000005</v>
      </c>
      <c r="Q283">
        <v>0</v>
      </c>
      <c r="R283" s="1">
        <v>570843.43000000005</v>
      </c>
      <c r="S283">
        <v>0</v>
      </c>
    </row>
    <row r="284" spans="1:19" x14ac:dyDescent="0.25">
      <c r="A284" s="3">
        <v>1001</v>
      </c>
      <c r="B284" s="4" t="s">
        <v>21</v>
      </c>
      <c r="C284" s="4" t="str">
        <f t="shared" si="22"/>
        <v>17</v>
      </c>
      <c r="D284" t="s">
        <v>232</v>
      </c>
      <c r="E284" s="3" t="str">
        <f t="shared" si="23"/>
        <v>170100000</v>
      </c>
      <c r="F284" t="s">
        <v>236</v>
      </c>
      <c r="G284" t="s">
        <v>237</v>
      </c>
      <c r="H284" t="s">
        <v>238</v>
      </c>
      <c r="I284">
        <v>3</v>
      </c>
      <c r="J284" t="s">
        <v>39</v>
      </c>
      <c r="K284">
        <v>0</v>
      </c>
      <c r="L284" s="1">
        <v>13386.65</v>
      </c>
      <c r="M284" s="1">
        <v>13386.65</v>
      </c>
      <c r="N284" s="1">
        <v>13386.65</v>
      </c>
      <c r="O284">
        <v>0</v>
      </c>
      <c r="P284" s="1">
        <v>13386.65</v>
      </c>
      <c r="Q284">
        <v>0</v>
      </c>
      <c r="R284" s="1">
        <v>13386.65</v>
      </c>
      <c r="S284">
        <v>0</v>
      </c>
    </row>
    <row r="285" spans="1:19" x14ac:dyDescent="0.25">
      <c r="A285" s="3">
        <v>1001</v>
      </c>
      <c r="B285" s="4" t="s">
        <v>21</v>
      </c>
      <c r="C285" s="4" t="str">
        <f t="shared" si="22"/>
        <v>17</v>
      </c>
      <c r="D285" t="s">
        <v>232</v>
      </c>
      <c r="E285" s="3" t="str">
        <f t="shared" si="23"/>
        <v>170100000</v>
      </c>
      <c r="F285" t="s">
        <v>236</v>
      </c>
      <c r="G285" t="s">
        <v>237</v>
      </c>
      <c r="H285" t="s">
        <v>238</v>
      </c>
      <c r="I285">
        <v>4</v>
      </c>
      <c r="J285" t="s">
        <v>36</v>
      </c>
      <c r="K285" s="1">
        <v>98000</v>
      </c>
      <c r="L285" s="1">
        <v>73000</v>
      </c>
      <c r="M285" s="1">
        <v>-25000</v>
      </c>
      <c r="N285" s="1">
        <v>73000</v>
      </c>
      <c r="O285">
        <v>0</v>
      </c>
      <c r="P285" s="1">
        <v>73000</v>
      </c>
      <c r="Q285">
        <v>0</v>
      </c>
      <c r="R285" s="1">
        <v>73000</v>
      </c>
      <c r="S285">
        <v>0</v>
      </c>
    </row>
    <row r="286" spans="1:19" x14ac:dyDescent="0.25">
      <c r="A286" s="3">
        <v>1001</v>
      </c>
      <c r="B286" s="4" t="s">
        <v>21</v>
      </c>
      <c r="C286" s="4" t="str">
        <f t="shared" si="22"/>
        <v>17</v>
      </c>
      <c r="D286" t="s">
        <v>232</v>
      </c>
      <c r="E286" s="3" t="str">
        <f t="shared" si="23"/>
        <v>170100000</v>
      </c>
      <c r="F286" t="s">
        <v>236</v>
      </c>
      <c r="G286" t="s">
        <v>237</v>
      </c>
      <c r="H286" t="s">
        <v>238</v>
      </c>
      <c r="I286">
        <v>6</v>
      </c>
      <c r="J286" t="s">
        <v>32</v>
      </c>
      <c r="K286" s="1">
        <v>7962274</v>
      </c>
      <c r="L286" s="1">
        <v>9845379.9100000001</v>
      </c>
      <c r="M286" s="1">
        <v>1883105.91</v>
      </c>
      <c r="N286" s="1">
        <v>9845379.9100000001</v>
      </c>
      <c r="O286">
        <v>0</v>
      </c>
      <c r="P286" s="1">
        <v>9845379.8200000003</v>
      </c>
      <c r="Q286">
        <v>0.09</v>
      </c>
      <c r="R286" s="1">
        <v>9845379.8100000005</v>
      </c>
      <c r="S286">
        <v>0.01</v>
      </c>
    </row>
    <row r="287" spans="1:19" x14ac:dyDescent="0.25">
      <c r="A287" s="3">
        <v>1001</v>
      </c>
      <c r="B287" s="4" t="s">
        <v>21</v>
      </c>
      <c r="C287" s="4" t="str">
        <f t="shared" si="22"/>
        <v>17</v>
      </c>
      <c r="D287" t="s">
        <v>232</v>
      </c>
      <c r="E287" s="3" t="str">
        <f t="shared" si="23"/>
        <v>170100000</v>
      </c>
      <c r="F287" t="s">
        <v>236</v>
      </c>
      <c r="G287" t="s">
        <v>237</v>
      </c>
      <c r="H287" t="s">
        <v>238</v>
      </c>
      <c r="I287">
        <v>7</v>
      </c>
      <c r="J287" t="s">
        <v>40</v>
      </c>
      <c r="K287" s="1">
        <v>6883912</v>
      </c>
      <c r="L287" s="1">
        <v>6991308</v>
      </c>
      <c r="M287" s="1">
        <v>107396</v>
      </c>
      <c r="N287" s="1">
        <v>6991308</v>
      </c>
      <c r="O287">
        <v>0</v>
      </c>
      <c r="P287" s="1">
        <v>6991308</v>
      </c>
      <c r="Q287">
        <v>0</v>
      </c>
      <c r="R287" s="1">
        <v>6991308</v>
      </c>
      <c r="S287">
        <v>0</v>
      </c>
    </row>
    <row r="288" spans="1:19" x14ac:dyDescent="0.25">
      <c r="A288" s="3">
        <v>1001</v>
      </c>
      <c r="B288" s="4" t="s">
        <v>21</v>
      </c>
      <c r="C288" s="4" t="str">
        <f t="shared" si="22"/>
        <v>17</v>
      </c>
      <c r="D288" t="s">
        <v>232</v>
      </c>
      <c r="E288" s="3" t="str">
        <f>"170110000"</f>
        <v>170110000</v>
      </c>
      <c r="F288" t="s">
        <v>239</v>
      </c>
      <c r="G288" t="s">
        <v>240</v>
      </c>
      <c r="H288" t="s">
        <v>241</v>
      </c>
      <c r="I288">
        <v>1</v>
      </c>
      <c r="J288" t="s">
        <v>25</v>
      </c>
      <c r="K288" s="1">
        <v>23090937</v>
      </c>
      <c r="L288" s="1">
        <v>18081432.510000002</v>
      </c>
      <c r="M288" s="1">
        <v>-5009504.49</v>
      </c>
      <c r="N288" s="1">
        <v>18081430.550000001</v>
      </c>
      <c r="O288">
        <v>1.96</v>
      </c>
      <c r="P288" s="1">
        <v>18081430.550000001</v>
      </c>
      <c r="Q288">
        <v>0</v>
      </c>
      <c r="R288" s="1">
        <v>18081430.550000001</v>
      </c>
      <c r="S288">
        <v>0</v>
      </c>
    </row>
    <row r="289" spans="1:19" x14ac:dyDescent="0.25">
      <c r="A289" s="3">
        <v>1001</v>
      </c>
      <c r="B289" s="4" t="s">
        <v>21</v>
      </c>
      <c r="C289" s="4" t="str">
        <f t="shared" si="22"/>
        <v>17</v>
      </c>
      <c r="D289" t="s">
        <v>232</v>
      </c>
      <c r="E289" s="3" t="str">
        <f>"170110000"</f>
        <v>170110000</v>
      </c>
      <c r="F289" t="s">
        <v>239</v>
      </c>
      <c r="G289" t="s">
        <v>240</v>
      </c>
      <c r="H289" t="s">
        <v>241</v>
      </c>
      <c r="I289">
        <v>2</v>
      </c>
      <c r="J289" t="s">
        <v>26</v>
      </c>
      <c r="K289" s="1">
        <v>189298</v>
      </c>
      <c r="L289" s="1">
        <v>121075.06</v>
      </c>
      <c r="M289" s="1">
        <v>-68222.94</v>
      </c>
      <c r="N289" s="1">
        <v>115173.43</v>
      </c>
      <c r="O289" s="1">
        <v>5901.63</v>
      </c>
      <c r="P289" s="1">
        <v>115173.43</v>
      </c>
      <c r="Q289">
        <v>0</v>
      </c>
      <c r="R289" s="1">
        <v>100612.83</v>
      </c>
      <c r="S289" s="1">
        <v>14560.6</v>
      </c>
    </row>
    <row r="290" spans="1:19" x14ac:dyDescent="0.25">
      <c r="A290" s="3">
        <v>1001</v>
      </c>
      <c r="B290" s="4" t="s">
        <v>21</v>
      </c>
      <c r="C290" s="4" t="str">
        <f t="shared" si="22"/>
        <v>17</v>
      </c>
      <c r="D290" t="s">
        <v>232</v>
      </c>
      <c r="E290" s="3" t="str">
        <f>"170110000"</f>
        <v>170110000</v>
      </c>
      <c r="F290" t="s">
        <v>239</v>
      </c>
      <c r="G290" t="s">
        <v>240</v>
      </c>
      <c r="H290" t="s">
        <v>241</v>
      </c>
      <c r="I290">
        <v>6</v>
      </c>
      <c r="J290" t="s">
        <v>32</v>
      </c>
      <c r="K290">
        <v>0</v>
      </c>
      <c r="L290">
        <v>45</v>
      </c>
      <c r="M290">
        <v>45</v>
      </c>
      <c r="N290">
        <v>45</v>
      </c>
      <c r="O290">
        <v>0</v>
      </c>
      <c r="P290">
        <v>45</v>
      </c>
      <c r="Q290">
        <v>0</v>
      </c>
      <c r="R290">
        <v>45</v>
      </c>
      <c r="S290">
        <v>0</v>
      </c>
    </row>
    <row r="291" spans="1:19" x14ac:dyDescent="0.25">
      <c r="A291" s="3">
        <v>1001</v>
      </c>
      <c r="B291" s="4" t="s">
        <v>21</v>
      </c>
      <c r="C291" s="4" t="str">
        <f t="shared" si="22"/>
        <v>17</v>
      </c>
      <c r="D291" t="s">
        <v>232</v>
      </c>
      <c r="E291" s="3" t="str">
        <f>"170120000"</f>
        <v>170120000</v>
      </c>
      <c r="F291" t="s">
        <v>242</v>
      </c>
      <c r="G291" t="s">
        <v>243</v>
      </c>
      <c r="H291" t="s">
        <v>244</v>
      </c>
      <c r="I291">
        <v>1</v>
      </c>
      <c r="J291" t="s">
        <v>25</v>
      </c>
      <c r="K291" s="1">
        <v>34151665</v>
      </c>
      <c r="L291" s="1">
        <v>26724282.23</v>
      </c>
      <c r="M291" s="1">
        <v>-7427382.7699999996</v>
      </c>
      <c r="N291" s="1">
        <v>26724275.850000001</v>
      </c>
      <c r="O291">
        <v>6.38</v>
      </c>
      <c r="P291" s="1">
        <v>26724275.850000001</v>
      </c>
      <c r="Q291">
        <v>0</v>
      </c>
      <c r="R291" s="1">
        <v>26724275.850000001</v>
      </c>
      <c r="S291">
        <v>0</v>
      </c>
    </row>
    <row r="292" spans="1:19" x14ac:dyDescent="0.25">
      <c r="A292" s="3">
        <v>1001</v>
      </c>
      <c r="B292" s="4" t="s">
        <v>21</v>
      </c>
      <c r="C292" s="4" t="str">
        <f t="shared" si="22"/>
        <v>17</v>
      </c>
      <c r="D292" t="s">
        <v>232</v>
      </c>
      <c r="E292" s="3" t="str">
        <f>"170120000"</f>
        <v>170120000</v>
      </c>
      <c r="F292" t="s">
        <v>242</v>
      </c>
      <c r="G292" t="s">
        <v>243</v>
      </c>
      <c r="H292" t="s">
        <v>244</v>
      </c>
      <c r="I292">
        <v>2</v>
      </c>
      <c r="J292" t="s">
        <v>26</v>
      </c>
      <c r="K292" s="1">
        <v>123664436</v>
      </c>
      <c r="L292" s="1">
        <v>114662148.19</v>
      </c>
      <c r="M292" s="1">
        <v>-9002287.8100000005</v>
      </c>
      <c r="N292" s="1">
        <v>113339958.44</v>
      </c>
      <c r="O292" s="1">
        <v>1322189.75</v>
      </c>
      <c r="P292" s="1">
        <v>113320955.41</v>
      </c>
      <c r="Q292" s="1">
        <v>19003.03</v>
      </c>
      <c r="R292" s="1">
        <v>106387934.01000001</v>
      </c>
      <c r="S292" s="1">
        <v>6933021.4000000004</v>
      </c>
    </row>
    <row r="293" spans="1:19" x14ac:dyDescent="0.25">
      <c r="A293" s="3">
        <v>1001</v>
      </c>
      <c r="B293" s="4" t="s">
        <v>21</v>
      </c>
      <c r="C293" s="4" t="str">
        <f t="shared" si="22"/>
        <v>17</v>
      </c>
      <c r="D293" t="s">
        <v>232</v>
      </c>
      <c r="E293" s="3" t="str">
        <f>"170120000"</f>
        <v>170120000</v>
      </c>
      <c r="F293" t="s">
        <v>242</v>
      </c>
      <c r="G293" t="s">
        <v>243</v>
      </c>
      <c r="H293" t="s">
        <v>244</v>
      </c>
      <c r="I293">
        <v>3</v>
      </c>
      <c r="J293" t="s">
        <v>39</v>
      </c>
      <c r="K293">
        <v>0</v>
      </c>
      <c r="L293" s="1">
        <v>5553.3</v>
      </c>
      <c r="M293" s="1">
        <v>5553.3</v>
      </c>
      <c r="N293" s="1">
        <v>5553.3</v>
      </c>
      <c r="O293">
        <v>0</v>
      </c>
      <c r="P293" s="1">
        <v>5553.3</v>
      </c>
      <c r="Q293">
        <v>0</v>
      </c>
      <c r="R293" s="1">
        <v>5553.3</v>
      </c>
      <c r="S293">
        <v>0</v>
      </c>
    </row>
    <row r="294" spans="1:19" x14ac:dyDescent="0.25">
      <c r="A294" s="3">
        <v>1001</v>
      </c>
      <c r="B294" s="4" t="s">
        <v>21</v>
      </c>
      <c r="C294" s="4" t="str">
        <f t="shared" si="22"/>
        <v>17</v>
      </c>
      <c r="D294" t="s">
        <v>232</v>
      </c>
      <c r="E294" s="3" t="str">
        <f>"170120000"</f>
        <v>170120000</v>
      </c>
      <c r="F294" t="s">
        <v>242</v>
      </c>
      <c r="G294" t="s">
        <v>243</v>
      </c>
      <c r="H294" t="s">
        <v>244</v>
      </c>
      <c r="I294">
        <v>4</v>
      </c>
      <c r="J294" t="s">
        <v>36</v>
      </c>
      <c r="K294" s="1">
        <v>1152581</v>
      </c>
      <c r="L294" s="1">
        <v>1152581</v>
      </c>
      <c r="M294">
        <v>0</v>
      </c>
      <c r="N294" s="1">
        <v>1152581</v>
      </c>
      <c r="O294">
        <v>0</v>
      </c>
      <c r="P294" s="1">
        <v>1152502.3999999999</v>
      </c>
      <c r="Q294">
        <v>78.599999999999994</v>
      </c>
      <c r="R294" s="1">
        <v>1152502.3999999999</v>
      </c>
      <c r="S294">
        <v>0</v>
      </c>
    </row>
    <row r="295" spans="1:19" x14ac:dyDescent="0.25">
      <c r="A295" s="3">
        <v>1001</v>
      </c>
      <c r="B295" s="4" t="s">
        <v>21</v>
      </c>
      <c r="C295" s="4" t="str">
        <f t="shared" si="22"/>
        <v>17</v>
      </c>
      <c r="D295" t="s">
        <v>232</v>
      </c>
      <c r="E295" s="3" t="str">
        <f>"170120000"</f>
        <v>170120000</v>
      </c>
      <c r="F295" t="s">
        <v>242</v>
      </c>
      <c r="G295" t="s">
        <v>243</v>
      </c>
      <c r="H295" t="s">
        <v>244</v>
      </c>
      <c r="I295">
        <v>6</v>
      </c>
      <c r="J295" t="s">
        <v>32</v>
      </c>
      <c r="K295" s="1">
        <v>372127</v>
      </c>
      <c r="L295" s="1">
        <v>309187.02</v>
      </c>
      <c r="M295" s="1">
        <v>-62939.98</v>
      </c>
      <c r="N295" s="1">
        <v>309187.02</v>
      </c>
      <c r="O295">
        <v>0</v>
      </c>
      <c r="P295" s="1">
        <v>217005.19</v>
      </c>
      <c r="Q295" s="1">
        <v>92181.83</v>
      </c>
      <c r="R295" s="1">
        <v>31067.759999999998</v>
      </c>
      <c r="S295" s="1">
        <v>185937.43</v>
      </c>
    </row>
    <row r="296" spans="1:19" x14ac:dyDescent="0.25">
      <c r="A296" s="3">
        <v>1001</v>
      </c>
      <c r="B296" s="4" t="s">
        <v>21</v>
      </c>
      <c r="C296" s="4" t="str">
        <f t="shared" si="22"/>
        <v>17</v>
      </c>
      <c r="D296" t="s">
        <v>232</v>
      </c>
      <c r="E296" s="3" t="str">
        <f>"170130000"</f>
        <v>170130000</v>
      </c>
      <c r="F296" t="s">
        <v>245</v>
      </c>
      <c r="G296" t="s">
        <v>246</v>
      </c>
      <c r="H296" t="s">
        <v>247</v>
      </c>
      <c r="I296">
        <v>1</v>
      </c>
      <c r="J296" t="s">
        <v>25</v>
      </c>
      <c r="K296" s="1">
        <v>4214635</v>
      </c>
      <c r="L296" s="1">
        <v>3394602.27</v>
      </c>
      <c r="M296" s="1">
        <v>-820032.73</v>
      </c>
      <c r="N296" s="1">
        <v>3394597.25</v>
      </c>
      <c r="O296">
        <v>5.0199999999999996</v>
      </c>
      <c r="P296" s="1">
        <v>3394597.25</v>
      </c>
      <c r="Q296">
        <v>0</v>
      </c>
      <c r="R296" s="1">
        <v>3394597.25</v>
      </c>
      <c r="S296">
        <v>0</v>
      </c>
    </row>
    <row r="297" spans="1:19" x14ac:dyDescent="0.25">
      <c r="A297" s="3">
        <v>1001</v>
      </c>
      <c r="B297" s="4" t="s">
        <v>21</v>
      </c>
      <c r="C297" s="4" t="str">
        <f t="shared" si="22"/>
        <v>17</v>
      </c>
      <c r="D297" t="s">
        <v>232</v>
      </c>
      <c r="E297" s="3" t="str">
        <f>"170130000"</f>
        <v>170130000</v>
      </c>
      <c r="F297" t="s">
        <v>245</v>
      </c>
      <c r="G297" t="s">
        <v>246</v>
      </c>
      <c r="H297" t="s">
        <v>247</v>
      </c>
      <c r="I297">
        <v>2</v>
      </c>
      <c r="J297" t="s">
        <v>26</v>
      </c>
      <c r="K297" s="1">
        <v>301851</v>
      </c>
      <c r="L297" s="1">
        <v>250496.67</v>
      </c>
      <c r="M297" s="1">
        <v>-51354.33</v>
      </c>
      <c r="N297" s="1">
        <v>230939.82</v>
      </c>
      <c r="O297" s="1">
        <v>19556.849999999999</v>
      </c>
      <c r="P297" s="1">
        <v>230939.82</v>
      </c>
      <c r="Q297">
        <v>0</v>
      </c>
      <c r="R297" s="1">
        <v>230939.82</v>
      </c>
      <c r="S297">
        <v>0</v>
      </c>
    </row>
    <row r="298" spans="1:19" x14ac:dyDescent="0.25">
      <c r="A298" s="3">
        <v>1001</v>
      </c>
      <c r="B298" s="4" t="s">
        <v>21</v>
      </c>
      <c r="C298" s="4" t="str">
        <f t="shared" si="22"/>
        <v>17</v>
      </c>
      <c r="D298" t="s">
        <v>232</v>
      </c>
      <c r="E298" s="3" t="str">
        <f>"170130000"</f>
        <v>170130000</v>
      </c>
      <c r="F298" t="s">
        <v>245</v>
      </c>
      <c r="G298" t="s">
        <v>246</v>
      </c>
      <c r="H298" t="s">
        <v>247</v>
      </c>
      <c r="I298">
        <v>4</v>
      </c>
      <c r="J298" t="s">
        <v>36</v>
      </c>
      <c r="K298" s="1">
        <v>386000</v>
      </c>
      <c r="L298" s="1">
        <v>384773.74</v>
      </c>
      <c r="M298" s="1">
        <v>-1226.26</v>
      </c>
      <c r="N298" s="1">
        <v>384773.74</v>
      </c>
      <c r="O298">
        <v>0</v>
      </c>
      <c r="P298" s="1">
        <v>384773.74</v>
      </c>
      <c r="Q298">
        <v>0</v>
      </c>
      <c r="R298" s="1">
        <v>384773.74</v>
      </c>
      <c r="S298">
        <v>0</v>
      </c>
    </row>
    <row r="299" spans="1:19" x14ac:dyDescent="0.25">
      <c r="A299" s="3">
        <v>1001</v>
      </c>
      <c r="B299" s="4" t="s">
        <v>21</v>
      </c>
      <c r="C299" s="4" t="str">
        <f t="shared" ref="C299:C330" si="24">"19"</f>
        <v>19</v>
      </c>
      <c r="D299" t="s">
        <v>248</v>
      </c>
      <c r="E299" s="3" t="str">
        <f>"190010000"</f>
        <v>190010000</v>
      </c>
      <c r="F299" t="s">
        <v>249</v>
      </c>
      <c r="G299" t="s">
        <v>250</v>
      </c>
      <c r="H299" t="s">
        <v>251</v>
      </c>
      <c r="I299">
        <v>1</v>
      </c>
      <c r="J299" t="s">
        <v>25</v>
      </c>
      <c r="K299" s="1">
        <v>23875230</v>
      </c>
      <c r="L299" s="1">
        <v>26028168.699999999</v>
      </c>
      <c r="M299" s="1">
        <v>2152938.7000000002</v>
      </c>
      <c r="N299" s="1">
        <v>26003949.579999998</v>
      </c>
      <c r="O299" s="1">
        <v>24219.119999999999</v>
      </c>
      <c r="P299" s="1">
        <v>26003949.579999998</v>
      </c>
      <c r="Q299">
        <v>0</v>
      </c>
      <c r="R299" s="1">
        <v>26003320.059999999</v>
      </c>
      <c r="S299">
        <v>629.52</v>
      </c>
    </row>
    <row r="300" spans="1:19" x14ac:dyDescent="0.25">
      <c r="A300" s="3">
        <v>1001</v>
      </c>
      <c r="B300" s="4" t="s">
        <v>21</v>
      </c>
      <c r="C300" s="4" t="str">
        <f t="shared" si="24"/>
        <v>19</v>
      </c>
      <c r="D300" t="s">
        <v>248</v>
      </c>
      <c r="E300" s="3" t="str">
        <f>"190010000"</f>
        <v>190010000</v>
      </c>
      <c r="F300" t="s">
        <v>249</v>
      </c>
      <c r="G300" t="s">
        <v>250</v>
      </c>
      <c r="H300" t="s">
        <v>251</v>
      </c>
      <c r="I300">
        <v>2</v>
      </c>
      <c r="J300" t="s">
        <v>26</v>
      </c>
      <c r="K300" s="1">
        <v>13951270</v>
      </c>
      <c r="L300" s="1">
        <v>12448736.93</v>
      </c>
      <c r="M300" s="1">
        <v>-1502533.07</v>
      </c>
      <c r="N300" s="1">
        <v>12090730.779999999</v>
      </c>
      <c r="O300" s="1">
        <v>358006.15</v>
      </c>
      <c r="P300" s="1">
        <v>12086653.060000001</v>
      </c>
      <c r="Q300" s="1">
        <v>4077.72</v>
      </c>
      <c r="R300" s="1">
        <v>11105044.689999999</v>
      </c>
      <c r="S300" s="1">
        <v>981608.37</v>
      </c>
    </row>
    <row r="301" spans="1:19" x14ac:dyDescent="0.25">
      <c r="A301" s="3">
        <v>1001</v>
      </c>
      <c r="B301" s="4" t="s">
        <v>21</v>
      </c>
      <c r="C301" s="4" t="str">
        <f t="shared" si="24"/>
        <v>19</v>
      </c>
      <c r="D301" t="s">
        <v>248</v>
      </c>
      <c r="E301" s="3" t="str">
        <f>"190010000"</f>
        <v>190010000</v>
      </c>
      <c r="F301" t="s">
        <v>249</v>
      </c>
      <c r="G301" t="s">
        <v>250</v>
      </c>
      <c r="H301" t="s">
        <v>251</v>
      </c>
      <c r="I301">
        <v>3</v>
      </c>
      <c r="J301" t="s">
        <v>39</v>
      </c>
      <c r="K301">
        <v>0</v>
      </c>
      <c r="L301" s="1">
        <v>40000</v>
      </c>
      <c r="M301" s="1">
        <v>40000</v>
      </c>
      <c r="N301" s="1">
        <v>35706.94</v>
      </c>
      <c r="O301" s="1">
        <v>4293.0600000000004</v>
      </c>
      <c r="P301" s="1">
        <v>35706.94</v>
      </c>
      <c r="Q301">
        <v>0</v>
      </c>
      <c r="R301" s="1">
        <v>35706.94</v>
      </c>
      <c r="S301">
        <v>0</v>
      </c>
    </row>
    <row r="302" spans="1:19" x14ac:dyDescent="0.25">
      <c r="A302" s="3">
        <v>1001</v>
      </c>
      <c r="B302" s="4" t="s">
        <v>21</v>
      </c>
      <c r="C302" s="4" t="str">
        <f t="shared" si="24"/>
        <v>19</v>
      </c>
      <c r="D302" t="s">
        <v>248</v>
      </c>
      <c r="E302" s="3" t="str">
        <f>"190010000"</f>
        <v>190010000</v>
      </c>
      <c r="F302" t="s">
        <v>249</v>
      </c>
      <c r="G302" t="s">
        <v>250</v>
      </c>
      <c r="H302" t="s">
        <v>251</v>
      </c>
      <c r="I302">
        <v>6</v>
      </c>
      <c r="J302" t="s">
        <v>32</v>
      </c>
      <c r="K302" s="1">
        <v>3660127</v>
      </c>
      <c r="L302" s="1">
        <v>1491422.76</v>
      </c>
      <c r="M302" s="1">
        <v>-2168704.2400000002</v>
      </c>
      <c r="N302" s="1">
        <v>652257.28000000003</v>
      </c>
      <c r="O302" s="1">
        <v>839165.48</v>
      </c>
      <c r="P302" s="1">
        <v>652257.28000000003</v>
      </c>
      <c r="Q302">
        <v>0</v>
      </c>
      <c r="R302" s="1">
        <v>479977.89</v>
      </c>
      <c r="S302" s="1">
        <v>172279.39</v>
      </c>
    </row>
    <row r="303" spans="1:19" x14ac:dyDescent="0.25">
      <c r="A303" s="3">
        <v>1001</v>
      </c>
      <c r="B303" s="4" t="s">
        <v>21</v>
      </c>
      <c r="C303" s="4" t="str">
        <f t="shared" si="24"/>
        <v>19</v>
      </c>
      <c r="D303" t="s">
        <v>248</v>
      </c>
      <c r="E303" s="3" t="str">
        <f>"190010000"</f>
        <v>190010000</v>
      </c>
      <c r="F303" t="s">
        <v>249</v>
      </c>
      <c r="G303" t="s">
        <v>250</v>
      </c>
      <c r="H303" t="s">
        <v>251</v>
      </c>
      <c r="I303">
        <v>8</v>
      </c>
      <c r="J303" t="s">
        <v>27</v>
      </c>
      <c r="K303" s="1">
        <v>8495249</v>
      </c>
      <c r="L303" s="1">
        <v>10083114</v>
      </c>
      <c r="M303" s="1">
        <v>1587865</v>
      </c>
      <c r="N303" s="1">
        <v>10083114</v>
      </c>
      <c r="O303">
        <v>0</v>
      </c>
      <c r="P303" s="1">
        <v>10083114</v>
      </c>
      <c r="Q303">
        <v>0</v>
      </c>
      <c r="R303" s="1">
        <v>10083114</v>
      </c>
      <c r="S303">
        <v>0</v>
      </c>
    </row>
    <row r="304" spans="1:19" x14ac:dyDescent="0.25">
      <c r="A304" s="3">
        <v>1001</v>
      </c>
      <c r="B304" s="4" t="s">
        <v>21</v>
      </c>
      <c r="C304" s="4" t="str">
        <f t="shared" si="24"/>
        <v>19</v>
      </c>
      <c r="D304" t="s">
        <v>248</v>
      </c>
      <c r="E304" s="3" t="str">
        <f>"190100000"</f>
        <v>190100000</v>
      </c>
      <c r="F304" t="s">
        <v>252</v>
      </c>
      <c r="G304" t="s">
        <v>253</v>
      </c>
      <c r="H304" t="s">
        <v>254</v>
      </c>
      <c r="I304">
        <v>1</v>
      </c>
      <c r="J304" t="s">
        <v>25</v>
      </c>
      <c r="K304" s="1">
        <v>3010290</v>
      </c>
      <c r="L304" s="1">
        <v>3275135.21</v>
      </c>
      <c r="M304" s="1">
        <v>264845.21000000002</v>
      </c>
      <c r="N304" s="1">
        <v>3275130.22</v>
      </c>
      <c r="O304">
        <v>4.99</v>
      </c>
      <c r="P304" s="1">
        <v>3275130.22</v>
      </c>
      <c r="Q304">
        <v>0</v>
      </c>
      <c r="R304" s="1">
        <v>3275130.22</v>
      </c>
      <c r="S304">
        <v>0</v>
      </c>
    </row>
    <row r="305" spans="1:19" x14ac:dyDescent="0.25">
      <c r="A305" s="3">
        <v>1001</v>
      </c>
      <c r="B305" s="4" t="s">
        <v>21</v>
      </c>
      <c r="C305" s="4" t="str">
        <f t="shared" si="24"/>
        <v>19</v>
      </c>
      <c r="D305" t="s">
        <v>248</v>
      </c>
      <c r="E305" s="3" t="str">
        <f>"190100000"</f>
        <v>190100000</v>
      </c>
      <c r="F305" t="s">
        <v>252</v>
      </c>
      <c r="G305" t="s">
        <v>253</v>
      </c>
      <c r="H305" t="s">
        <v>254</v>
      </c>
      <c r="I305">
        <v>2</v>
      </c>
      <c r="J305" t="s">
        <v>26</v>
      </c>
      <c r="K305" s="1">
        <v>8546597</v>
      </c>
      <c r="L305" s="1">
        <v>8227540.0300000003</v>
      </c>
      <c r="M305" s="1">
        <v>-319056.96999999997</v>
      </c>
      <c r="N305" s="1">
        <v>5959535.79</v>
      </c>
      <c r="O305" s="1">
        <v>2268004.2400000002</v>
      </c>
      <c r="P305" s="1">
        <v>4312358.08</v>
      </c>
      <c r="Q305" s="1">
        <v>1647177.71</v>
      </c>
      <c r="R305" s="1">
        <v>3751809.11</v>
      </c>
      <c r="S305" s="1">
        <v>560548.97</v>
      </c>
    </row>
    <row r="306" spans="1:19" x14ac:dyDescent="0.25">
      <c r="A306" s="3">
        <v>1001</v>
      </c>
      <c r="B306" s="4" t="s">
        <v>21</v>
      </c>
      <c r="C306" s="4" t="str">
        <f t="shared" si="24"/>
        <v>19</v>
      </c>
      <c r="D306" t="s">
        <v>248</v>
      </c>
      <c r="E306" s="3" t="str">
        <f>"190100000"</f>
        <v>190100000</v>
      </c>
      <c r="F306" t="s">
        <v>252</v>
      </c>
      <c r="G306" t="s">
        <v>253</v>
      </c>
      <c r="H306" t="s">
        <v>254</v>
      </c>
      <c r="I306">
        <v>4</v>
      </c>
      <c r="J306" t="s">
        <v>36</v>
      </c>
      <c r="K306" s="1">
        <v>88596929</v>
      </c>
      <c r="L306" s="1">
        <v>107938830.5</v>
      </c>
      <c r="M306" s="1">
        <v>19341901.5</v>
      </c>
      <c r="N306" s="1">
        <v>107473191.41</v>
      </c>
      <c r="O306" s="1">
        <v>465639.09</v>
      </c>
      <c r="P306" s="1">
        <v>106615382.48999999</v>
      </c>
      <c r="Q306" s="1">
        <v>857808.92</v>
      </c>
      <c r="R306" s="1">
        <v>106615382.48999999</v>
      </c>
      <c r="S306">
        <v>0</v>
      </c>
    </row>
    <row r="307" spans="1:19" x14ac:dyDescent="0.25">
      <c r="A307" s="3">
        <v>1001</v>
      </c>
      <c r="B307" s="4" t="s">
        <v>21</v>
      </c>
      <c r="C307" s="4" t="str">
        <f t="shared" si="24"/>
        <v>19</v>
      </c>
      <c r="D307" t="s">
        <v>248</v>
      </c>
      <c r="E307" s="3" t="str">
        <f>"190100000"</f>
        <v>190100000</v>
      </c>
      <c r="F307" t="s">
        <v>252</v>
      </c>
      <c r="G307" t="s">
        <v>253</v>
      </c>
      <c r="H307" t="s">
        <v>254</v>
      </c>
      <c r="I307">
        <v>6</v>
      </c>
      <c r="J307" t="s">
        <v>32</v>
      </c>
      <c r="K307" s="1">
        <v>2027193</v>
      </c>
      <c r="L307" s="1">
        <v>2027193</v>
      </c>
      <c r="M307">
        <v>0</v>
      </c>
      <c r="N307" s="1">
        <v>55269.17</v>
      </c>
      <c r="O307" s="1">
        <v>1971923.83</v>
      </c>
      <c r="P307" s="1">
        <v>55269.17</v>
      </c>
      <c r="Q307">
        <v>0</v>
      </c>
      <c r="R307" s="1">
        <v>22040.15</v>
      </c>
      <c r="S307" s="1">
        <v>33229.019999999997</v>
      </c>
    </row>
    <row r="308" spans="1:19" x14ac:dyDescent="0.25">
      <c r="A308" s="3">
        <v>1001</v>
      </c>
      <c r="B308" s="4" t="s">
        <v>21</v>
      </c>
      <c r="C308" s="4" t="str">
        <f t="shared" si="24"/>
        <v>19</v>
      </c>
      <c r="D308" t="s">
        <v>248</v>
      </c>
      <c r="E308" s="3" t="str">
        <f>"190100000"</f>
        <v>190100000</v>
      </c>
      <c r="F308" t="s">
        <v>252</v>
      </c>
      <c r="G308" t="s">
        <v>253</v>
      </c>
      <c r="H308" t="s">
        <v>254</v>
      </c>
      <c r="I308">
        <v>7</v>
      </c>
      <c r="J308" t="s">
        <v>40</v>
      </c>
      <c r="K308" s="1">
        <v>14369000</v>
      </c>
      <c r="L308" s="1">
        <v>14369000</v>
      </c>
      <c r="M308">
        <v>0</v>
      </c>
      <c r="N308" s="1">
        <v>14369000</v>
      </c>
      <c r="O308">
        <v>0</v>
      </c>
      <c r="P308" s="1">
        <v>14369000</v>
      </c>
      <c r="Q308">
        <v>0</v>
      </c>
      <c r="R308" s="1">
        <v>14369000</v>
      </c>
      <c r="S308">
        <v>0</v>
      </c>
    </row>
    <row r="309" spans="1:19" x14ac:dyDescent="0.25">
      <c r="A309" s="3">
        <v>1001</v>
      </c>
      <c r="B309" s="4" t="s">
        <v>21</v>
      </c>
      <c r="C309" s="4" t="str">
        <f t="shared" si="24"/>
        <v>19</v>
      </c>
      <c r="D309" t="s">
        <v>248</v>
      </c>
      <c r="E309" s="3" t="str">
        <f t="shared" ref="E309:E317" si="25">"190110000"</f>
        <v>190110000</v>
      </c>
      <c r="F309" t="s">
        <v>255</v>
      </c>
      <c r="G309" t="s">
        <v>256</v>
      </c>
      <c r="H309" t="s">
        <v>257</v>
      </c>
      <c r="I309">
        <v>1</v>
      </c>
      <c r="J309" t="s">
        <v>25</v>
      </c>
      <c r="K309" s="1">
        <v>4214183</v>
      </c>
      <c r="L309" s="1">
        <v>4266662.93</v>
      </c>
      <c r="M309" s="1">
        <v>52479.93</v>
      </c>
      <c r="N309" s="1">
        <v>4266656.62</v>
      </c>
      <c r="O309">
        <v>6.31</v>
      </c>
      <c r="P309" s="1">
        <v>4266656.62</v>
      </c>
      <c r="Q309">
        <v>0</v>
      </c>
      <c r="R309" s="1">
        <v>4266656.62</v>
      </c>
      <c r="S309">
        <v>0</v>
      </c>
    </row>
    <row r="310" spans="1:19" x14ac:dyDescent="0.25">
      <c r="A310" s="3">
        <v>1001</v>
      </c>
      <c r="B310" s="4" t="s">
        <v>21</v>
      </c>
      <c r="C310" s="4" t="str">
        <f t="shared" si="24"/>
        <v>19</v>
      </c>
      <c r="D310" t="s">
        <v>248</v>
      </c>
      <c r="E310" s="3" t="str">
        <f t="shared" si="25"/>
        <v>190110000</v>
      </c>
      <c r="F310" t="s">
        <v>255</v>
      </c>
      <c r="G310" t="s">
        <v>256</v>
      </c>
      <c r="H310" t="s">
        <v>257</v>
      </c>
      <c r="I310">
        <v>2</v>
      </c>
      <c r="J310" t="s">
        <v>26</v>
      </c>
      <c r="K310" s="1">
        <v>357826340</v>
      </c>
      <c r="L310" s="1">
        <v>399485573.64999998</v>
      </c>
      <c r="M310" s="1">
        <v>41659233.649999999</v>
      </c>
      <c r="N310" s="1">
        <v>399348126.54000002</v>
      </c>
      <c r="O310" s="1">
        <v>137447.10999999999</v>
      </c>
      <c r="P310" s="1">
        <v>399035550.14999998</v>
      </c>
      <c r="Q310" s="1">
        <v>312576.39</v>
      </c>
      <c r="R310" s="1">
        <v>383462625.99000001</v>
      </c>
      <c r="S310" s="1">
        <v>15572924.16</v>
      </c>
    </row>
    <row r="311" spans="1:19" x14ac:dyDescent="0.25">
      <c r="A311" s="3">
        <v>1001</v>
      </c>
      <c r="B311" s="4" t="s">
        <v>21</v>
      </c>
      <c r="C311" s="4" t="str">
        <f t="shared" si="24"/>
        <v>19</v>
      </c>
      <c r="D311" t="s">
        <v>248</v>
      </c>
      <c r="E311" s="3" t="str">
        <f t="shared" si="25"/>
        <v>190110000</v>
      </c>
      <c r="F311" t="s">
        <v>255</v>
      </c>
      <c r="G311" t="s">
        <v>256</v>
      </c>
      <c r="H311" t="s">
        <v>257</v>
      </c>
      <c r="I311">
        <v>4</v>
      </c>
      <c r="J311" t="s">
        <v>36</v>
      </c>
      <c r="K311" s="1">
        <v>978000</v>
      </c>
      <c r="L311" s="1">
        <v>678580.61</v>
      </c>
      <c r="M311" s="1">
        <v>-299419.39</v>
      </c>
      <c r="N311" s="1">
        <v>678580.61</v>
      </c>
      <c r="O311">
        <v>0</v>
      </c>
      <c r="P311" s="1">
        <v>678580.61</v>
      </c>
      <c r="Q311">
        <v>0</v>
      </c>
      <c r="R311" s="1">
        <v>678580.61</v>
      </c>
      <c r="S311">
        <v>0</v>
      </c>
    </row>
    <row r="312" spans="1:19" x14ac:dyDescent="0.25">
      <c r="A312" s="3">
        <v>1001</v>
      </c>
      <c r="B312" s="4" t="s">
        <v>21</v>
      </c>
      <c r="C312" s="4" t="str">
        <f t="shared" si="24"/>
        <v>19</v>
      </c>
      <c r="D312" t="s">
        <v>248</v>
      </c>
      <c r="E312" s="3" t="str">
        <f t="shared" si="25"/>
        <v>190110000</v>
      </c>
      <c r="F312" t="s">
        <v>255</v>
      </c>
      <c r="G312" t="s">
        <v>256</v>
      </c>
      <c r="H312" t="s">
        <v>257</v>
      </c>
      <c r="I312">
        <v>6</v>
      </c>
      <c r="J312" t="s">
        <v>32</v>
      </c>
      <c r="K312" s="1">
        <v>28427668</v>
      </c>
      <c r="L312" s="1">
        <v>31909639</v>
      </c>
      <c r="M312" s="1">
        <v>3481971</v>
      </c>
      <c r="N312" s="1">
        <v>9201785.1600000001</v>
      </c>
      <c r="O312" s="1">
        <v>22707853.84</v>
      </c>
      <c r="P312" s="1">
        <v>7433530.8899999997</v>
      </c>
      <c r="Q312" s="1">
        <v>1768254.27</v>
      </c>
      <c r="R312" s="1">
        <v>5848148.9199999999</v>
      </c>
      <c r="S312" s="1">
        <v>1585381.97</v>
      </c>
    </row>
    <row r="313" spans="1:19" x14ac:dyDescent="0.25">
      <c r="A313" s="3">
        <v>1001</v>
      </c>
      <c r="B313" s="4" t="s">
        <v>21</v>
      </c>
      <c r="C313" s="4" t="str">
        <f t="shared" si="24"/>
        <v>19</v>
      </c>
      <c r="D313" t="s">
        <v>248</v>
      </c>
      <c r="E313" s="3" t="str">
        <f t="shared" si="25"/>
        <v>190110000</v>
      </c>
      <c r="F313" t="s">
        <v>255</v>
      </c>
      <c r="G313" t="s">
        <v>256</v>
      </c>
      <c r="H313" t="s">
        <v>257</v>
      </c>
      <c r="I313">
        <v>7</v>
      </c>
      <c r="J313" t="s">
        <v>40</v>
      </c>
      <c r="K313" s="1">
        <v>36495000</v>
      </c>
      <c r="L313" s="1">
        <v>42478598.469999999</v>
      </c>
      <c r="M313" s="1">
        <v>5983598.4699999997</v>
      </c>
      <c r="N313" s="1">
        <v>41472178.950000003</v>
      </c>
      <c r="O313" s="1">
        <v>1006419.52</v>
      </c>
      <c r="P313" s="1">
        <v>41263059.549999997</v>
      </c>
      <c r="Q313" s="1">
        <v>209119.4</v>
      </c>
      <c r="R313" s="1">
        <v>41263059.549999997</v>
      </c>
      <c r="S313">
        <v>0</v>
      </c>
    </row>
    <row r="314" spans="1:19" x14ac:dyDescent="0.25">
      <c r="A314" s="3">
        <v>1001</v>
      </c>
      <c r="B314" s="4" t="s">
        <v>21</v>
      </c>
      <c r="C314" s="4" t="str">
        <f t="shared" si="24"/>
        <v>19</v>
      </c>
      <c r="D314" t="s">
        <v>248</v>
      </c>
      <c r="E314" s="3" t="str">
        <f t="shared" si="25"/>
        <v>190110000</v>
      </c>
      <c r="F314" t="s">
        <v>255</v>
      </c>
      <c r="G314" t="s">
        <v>258</v>
      </c>
      <c r="H314" t="s">
        <v>259</v>
      </c>
      <c r="I314">
        <v>1</v>
      </c>
      <c r="J314" t="s">
        <v>25</v>
      </c>
      <c r="K314" s="1">
        <v>10670296</v>
      </c>
      <c r="L314" s="1">
        <v>10940675.66</v>
      </c>
      <c r="M314" s="1">
        <v>270379.65999999997</v>
      </c>
      <c r="N314" s="1">
        <v>10940671.050000001</v>
      </c>
      <c r="O314">
        <v>4.6100000000000003</v>
      </c>
      <c r="P314" s="1">
        <v>10940671.050000001</v>
      </c>
      <c r="Q314">
        <v>0</v>
      </c>
      <c r="R314" s="1">
        <v>10940671.050000001</v>
      </c>
      <c r="S314">
        <v>0</v>
      </c>
    </row>
    <row r="315" spans="1:19" x14ac:dyDescent="0.25">
      <c r="A315" s="3">
        <v>1001</v>
      </c>
      <c r="B315" s="4" t="s">
        <v>21</v>
      </c>
      <c r="C315" s="4" t="str">
        <f t="shared" si="24"/>
        <v>19</v>
      </c>
      <c r="D315" t="s">
        <v>248</v>
      </c>
      <c r="E315" s="3" t="str">
        <f t="shared" si="25"/>
        <v>190110000</v>
      </c>
      <c r="F315" t="s">
        <v>255</v>
      </c>
      <c r="G315" t="s">
        <v>258</v>
      </c>
      <c r="H315" t="s">
        <v>259</v>
      </c>
      <c r="I315">
        <v>2</v>
      </c>
      <c r="J315" t="s">
        <v>26</v>
      </c>
      <c r="K315" s="1">
        <v>103348517</v>
      </c>
      <c r="L315" s="1">
        <v>157961870.84999999</v>
      </c>
      <c r="M315" s="1">
        <v>54613353.850000001</v>
      </c>
      <c r="N315" s="1">
        <v>124860416.83</v>
      </c>
      <c r="O315" s="1">
        <v>33101454.02</v>
      </c>
      <c r="P315" s="1">
        <v>123267977.83</v>
      </c>
      <c r="Q315" s="1">
        <v>1592439</v>
      </c>
      <c r="R315" s="1">
        <v>121038143.69</v>
      </c>
      <c r="S315" s="1">
        <v>2229834.14</v>
      </c>
    </row>
    <row r="316" spans="1:19" x14ac:dyDescent="0.25">
      <c r="A316" s="3">
        <v>1001</v>
      </c>
      <c r="B316" s="4" t="s">
        <v>21</v>
      </c>
      <c r="C316" s="4" t="str">
        <f t="shared" si="24"/>
        <v>19</v>
      </c>
      <c r="D316" t="s">
        <v>248</v>
      </c>
      <c r="E316" s="3" t="str">
        <f t="shared" si="25"/>
        <v>190110000</v>
      </c>
      <c r="F316" t="s">
        <v>255</v>
      </c>
      <c r="G316" t="s">
        <v>258</v>
      </c>
      <c r="H316" t="s">
        <v>259</v>
      </c>
      <c r="I316">
        <v>4</v>
      </c>
      <c r="J316" t="s">
        <v>36</v>
      </c>
      <c r="K316" s="1">
        <v>342596163</v>
      </c>
      <c r="L316" s="1">
        <v>403574353.60000002</v>
      </c>
      <c r="M316" s="1">
        <v>60978190.600000001</v>
      </c>
      <c r="N316" s="1">
        <v>401934483.24000001</v>
      </c>
      <c r="O316" s="1">
        <v>1639870.36</v>
      </c>
      <c r="P316" s="1">
        <v>401096330.32999998</v>
      </c>
      <c r="Q316" s="1">
        <v>838152.91</v>
      </c>
      <c r="R316" s="1">
        <v>399087304.63</v>
      </c>
      <c r="S316" s="1">
        <v>2009025.7</v>
      </c>
    </row>
    <row r="317" spans="1:19" x14ac:dyDescent="0.25">
      <c r="A317" s="3">
        <v>1001</v>
      </c>
      <c r="B317" s="4" t="s">
        <v>21</v>
      </c>
      <c r="C317" s="4" t="str">
        <f t="shared" si="24"/>
        <v>19</v>
      </c>
      <c r="D317" t="s">
        <v>248</v>
      </c>
      <c r="E317" s="3" t="str">
        <f t="shared" si="25"/>
        <v>190110000</v>
      </c>
      <c r="F317" t="s">
        <v>255</v>
      </c>
      <c r="G317" t="s">
        <v>258</v>
      </c>
      <c r="H317" t="s">
        <v>259</v>
      </c>
      <c r="I317">
        <v>6</v>
      </c>
      <c r="J317" t="s">
        <v>32</v>
      </c>
      <c r="K317" s="1">
        <v>39365753</v>
      </c>
      <c r="L317" s="1">
        <v>39365753</v>
      </c>
      <c r="M317">
        <v>0</v>
      </c>
      <c r="N317" s="1">
        <v>39356522.950000003</v>
      </c>
      <c r="O317" s="1">
        <v>9230.0499999999993</v>
      </c>
      <c r="P317" s="1">
        <v>39356522.950000003</v>
      </c>
      <c r="Q317">
        <v>0</v>
      </c>
      <c r="R317" s="1">
        <v>39356292.049999997</v>
      </c>
      <c r="S317">
        <v>230.9</v>
      </c>
    </row>
    <row r="318" spans="1:19" x14ac:dyDescent="0.25">
      <c r="A318" s="3">
        <v>1001</v>
      </c>
      <c r="B318" s="4" t="s">
        <v>21</v>
      </c>
      <c r="C318" s="4" t="str">
        <f t="shared" si="24"/>
        <v>19</v>
      </c>
      <c r="D318" t="s">
        <v>248</v>
      </c>
      <c r="E318" s="3" t="str">
        <f t="shared" ref="E318:E329" si="26">"190120000"</f>
        <v>190120000</v>
      </c>
      <c r="F318" t="s">
        <v>260</v>
      </c>
      <c r="G318" t="s">
        <v>261</v>
      </c>
      <c r="H318" t="s">
        <v>262</v>
      </c>
      <c r="I318">
        <v>2</v>
      </c>
      <c r="J318" t="s">
        <v>26</v>
      </c>
      <c r="K318" s="1">
        <v>86693477</v>
      </c>
      <c r="L318" s="1">
        <v>85492636.049999997</v>
      </c>
      <c r="M318" s="1">
        <v>-1200840.95</v>
      </c>
      <c r="N318" s="1">
        <v>84170637.560000002</v>
      </c>
      <c r="O318" s="1">
        <v>1321998.49</v>
      </c>
      <c r="P318" s="1">
        <v>84098997.239999995</v>
      </c>
      <c r="Q318" s="1">
        <v>71640.320000000007</v>
      </c>
      <c r="R318" s="1">
        <v>83527359.239999995</v>
      </c>
      <c r="S318" s="1">
        <v>571638</v>
      </c>
    </row>
    <row r="319" spans="1:19" x14ac:dyDescent="0.25">
      <c r="A319" s="3">
        <v>1001</v>
      </c>
      <c r="B319" s="4" t="s">
        <v>21</v>
      </c>
      <c r="C319" s="4" t="str">
        <f t="shared" si="24"/>
        <v>19</v>
      </c>
      <c r="D319" t="s">
        <v>248</v>
      </c>
      <c r="E319" s="3" t="str">
        <f t="shared" si="26"/>
        <v>190120000</v>
      </c>
      <c r="F319" t="s">
        <v>260</v>
      </c>
      <c r="G319" t="s">
        <v>261</v>
      </c>
      <c r="H319" t="s">
        <v>262</v>
      </c>
      <c r="I319">
        <v>4</v>
      </c>
      <c r="J319" t="s">
        <v>36</v>
      </c>
      <c r="K319" s="1">
        <v>805000</v>
      </c>
      <c r="L319" s="1">
        <v>800143.48</v>
      </c>
      <c r="M319" s="1">
        <v>-4856.5200000000004</v>
      </c>
      <c r="N319" s="1">
        <v>800143.48</v>
      </c>
      <c r="O319">
        <v>0</v>
      </c>
      <c r="P319" s="1">
        <v>800143.46</v>
      </c>
      <c r="Q319">
        <v>0.02</v>
      </c>
      <c r="R319" s="1">
        <v>800143.46</v>
      </c>
      <c r="S319">
        <v>0</v>
      </c>
    </row>
    <row r="320" spans="1:19" x14ac:dyDescent="0.25">
      <c r="A320" s="3">
        <v>1001</v>
      </c>
      <c r="B320" s="4" t="s">
        <v>21</v>
      </c>
      <c r="C320" s="4" t="str">
        <f t="shared" si="24"/>
        <v>19</v>
      </c>
      <c r="D320" t="s">
        <v>248</v>
      </c>
      <c r="E320" s="3" t="str">
        <f t="shared" si="26"/>
        <v>190120000</v>
      </c>
      <c r="F320" t="s">
        <v>260</v>
      </c>
      <c r="G320" t="s">
        <v>261</v>
      </c>
      <c r="H320" t="s">
        <v>262</v>
      </c>
      <c r="I320">
        <v>6</v>
      </c>
      <c r="J320" t="s">
        <v>32</v>
      </c>
      <c r="K320" s="1">
        <v>514961</v>
      </c>
      <c r="L320" s="1">
        <v>292172.93</v>
      </c>
      <c r="M320" s="1">
        <v>-222788.07</v>
      </c>
      <c r="N320" s="1">
        <v>252172.93</v>
      </c>
      <c r="O320" s="1">
        <v>40000</v>
      </c>
      <c r="P320" s="1">
        <v>252172.93</v>
      </c>
      <c r="Q320">
        <v>0</v>
      </c>
      <c r="R320" s="1">
        <v>252172.93</v>
      </c>
      <c r="S320">
        <v>0</v>
      </c>
    </row>
    <row r="321" spans="1:19" x14ac:dyDescent="0.25">
      <c r="A321" s="3">
        <v>1001</v>
      </c>
      <c r="B321" s="4" t="s">
        <v>21</v>
      </c>
      <c r="C321" s="4" t="str">
        <f t="shared" si="24"/>
        <v>19</v>
      </c>
      <c r="D321" t="s">
        <v>248</v>
      </c>
      <c r="E321" s="3" t="str">
        <f t="shared" si="26"/>
        <v>190120000</v>
      </c>
      <c r="F321" t="s">
        <v>260</v>
      </c>
      <c r="G321" t="s">
        <v>261</v>
      </c>
      <c r="H321" t="s">
        <v>262</v>
      </c>
      <c r="I321">
        <v>7</v>
      </c>
      <c r="J321" t="s">
        <v>40</v>
      </c>
      <c r="K321" s="1">
        <v>2165000</v>
      </c>
      <c r="L321" s="1">
        <v>3152144.48</v>
      </c>
      <c r="M321" s="1">
        <v>987144.48</v>
      </c>
      <c r="N321" s="1">
        <v>1614653.71</v>
      </c>
      <c r="O321" s="1">
        <v>1537490.77</v>
      </c>
      <c r="P321" s="1">
        <v>1563653.71</v>
      </c>
      <c r="Q321" s="1">
        <v>51000</v>
      </c>
      <c r="R321" s="1">
        <v>1563653.71</v>
      </c>
      <c r="S321">
        <v>0</v>
      </c>
    </row>
    <row r="322" spans="1:19" x14ac:dyDescent="0.25">
      <c r="A322" s="3">
        <v>1001</v>
      </c>
      <c r="B322" s="4" t="s">
        <v>21</v>
      </c>
      <c r="C322" s="4" t="str">
        <f t="shared" si="24"/>
        <v>19</v>
      </c>
      <c r="D322" t="s">
        <v>248</v>
      </c>
      <c r="E322" s="3" t="str">
        <f t="shared" si="26"/>
        <v>190120000</v>
      </c>
      <c r="F322" t="s">
        <v>260</v>
      </c>
      <c r="G322" t="s">
        <v>263</v>
      </c>
      <c r="H322" t="s">
        <v>264</v>
      </c>
      <c r="I322">
        <v>1</v>
      </c>
      <c r="J322" t="s">
        <v>25</v>
      </c>
      <c r="K322" s="1">
        <v>14864229</v>
      </c>
      <c r="L322" s="1">
        <v>15230029.050000001</v>
      </c>
      <c r="M322" s="1">
        <v>365800.05</v>
      </c>
      <c r="N322" s="1">
        <v>15230024.32</v>
      </c>
      <c r="O322">
        <v>4.7300000000000004</v>
      </c>
      <c r="P322" s="1">
        <v>15230024.32</v>
      </c>
      <c r="Q322">
        <v>0</v>
      </c>
      <c r="R322" s="1">
        <v>15230024.32</v>
      </c>
      <c r="S322">
        <v>0</v>
      </c>
    </row>
    <row r="323" spans="1:19" x14ac:dyDescent="0.25">
      <c r="A323" s="3">
        <v>1001</v>
      </c>
      <c r="B323" s="4" t="s">
        <v>21</v>
      </c>
      <c r="C323" s="4" t="str">
        <f t="shared" si="24"/>
        <v>19</v>
      </c>
      <c r="D323" t="s">
        <v>248</v>
      </c>
      <c r="E323" s="3" t="str">
        <f t="shared" si="26"/>
        <v>190120000</v>
      </c>
      <c r="F323" t="s">
        <v>260</v>
      </c>
      <c r="G323" t="s">
        <v>263</v>
      </c>
      <c r="H323" t="s">
        <v>264</v>
      </c>
      <c r="I323">
        <v>2</v>
      </c>
      <c r="J323" t="s">
        <v>26</v>
      </c>
      <c r="K323" s="1">
        <v>2658463</v>
      </c>
      <c r="L323" s="1">
        <v>2462566.81</v>
      </c>
      <c r="M323" s="1">
        <v>-195896.19</v>
      </c>
      <c r="N323" s="1">
        <v>1921535.82</v>
      </c>
      <c r="O323" s="1">
        <v>541030.99</v>
      </c>
      <c r="P323" s="1">
        <v>1921535.82</v>
      </c>
      <c r="Q323">
        <v>0</v>
      </c>
      <c r="R323" s="1">
        <v>1855279.65</v>
      </c>
      <c r="S323" s="1">
        <v>66256.17</v>
      </c>
    </row>
    <row r="324" spans="1:19" x14ac:dyDescent="0.25">
      <c r="A324" s="3">
        <v>1001</v>
      </c>
      <c r="B324" s="4" t="s">
        <v>21</v>
      </c>
      <c r="C324" s="4" t="str">
        <f t="shared" si="24"/>
        <v>19</v>
      </c>
      <c r="D324" t="s">
        <v>248</v>
      </c>
      <c r="E324" s="3" t="str">
        <f t="shared" si="26"/>
        <v>190120000</v>
      </c>
      <c r="F324" t="s">
        <v>260</v>
      </c>
      <c r="G324" t="s">
        <v>263</v>
      </c>
      <c r="H324" t="s">
        <v>264</v>
      </c>
      <c r="I324">
        <v>6</v>
      </c>
      <c r="J324" t="s">
        <v>32</v>
      </c>
      <c r="K324" s="1">
        <v>1346042</v>
      </c>
      <c r="L324" s="1">
        <v>1086947.54</v>
      </c>
      <c r="M324" s="1">
        <v>-259094.46</v>
      </c>
      <c r="N324" s="1">
        <v>784033.78</v>
      </c>
      <c r="O324" s="1">
        <v>302913.76</v>
      </c>
      <c r="P324" s="1">
        <v>784033.78</v>
      </c>
      <c r="Q324">
        <v>0</v>
      </c>
      <c r="R324" s="1">
        <v>450215.11</v>
      </c>
      <c r="S324" s="1">
        <v>333818.67</v>
      </c>
    </row>
    <row r="325" spans="1:19" x14ac:dyDescent="0.25">
      <c r="A325" s="3">
        <v>1001</v>
      </c>
      <c r="B325" s="4" t="s">
        <v>21</v>
      </c>
      <c r="C325" s="4" t="str">
        <f t="shared" si="24"/>
        <v>19</v>
      </c>
      <c r="D325" t="s">
        <v>248</v>
      </c>
      <c r="E325" s="3" t="str">
        <f t="shared" si="26"/>
        <v>190120000</v>
      </c>
      <c r="F325" t="s">
        <v>260</v>
      </c>
      <c r="G325" t="s">
        <v>265</v>
      </c>
      <c r="H325" t="s">
        <v>266</v>
      </c>
      <c r="I325">
        <v>1</v>
      </c>
      <c r="J325" t="s">
        <v>25</v>
      </c>
      <c r="K325" s="1">
        <v>4232730</v>
      </c>
      <c r="L325" s="1">
        <v>4164136.19</v>
      </c>
      <c r="M325" s="1">
        <v>-68593.81</v>
      </c>
      <c r="N325" s="1">
        <v>4164132.21</v>
      </c>
      <c r="O325">
        <v>3.98</v>
      </c>
      <c r="P325" s="1">
        <v>4164132.21</v>
      </c>
      <c r="Q325">
        <v>0</v>
      </c>
      <c r="R325" s="1">
        <v>4164132.21</v>
      </c>
      <c r="S325">
        <v>0</v>
      </c>
    </row>
    <row r="326" spans="1:19" x14ac:dyDescent="0.25">
      <c r="A326" s="3">
        <v>1001</v>
      </c>
      <c r="B326" s="4" t="s">
        <v>21</v>
      </c>
      <c r="C326" s="4" t="str">
        <f t="shared" si="24"/>
        <v>19</v>
      </c>
      <c r="D326" t="s">
        <v>248</v>
      </c>
      <c r="E326" s="3" t="str">
        <f t="shared" si="26"/>
        <v>190120000</v>
      </c>
      <c r="F326" t="s">
        <v>260</v>
      </c>
      <c r="G326" t="s">
        <v>265</v>
      </c>
      <c r="H326" t="s">
        <v>266</v>
      </c>
      <c r="I326">
        <v>2</v>
      </c>
      <c r="J326" t="s">
        <v>26</v>
      </c>
      <c r="K326" s="1">
        <v>264393541</v>
      </c>
      <c r="L326" s="1">
        <v>283047706.30000001</v>
      </c>
      <c r="M326" s="1">
        <v>18654165.300000001</v>
      </c>
      <c r="N326" s="1">
        <v>282482143.49000001</v>
      </c>
      <c r="O326" s="1">
        <v>565562.81000000006</v>
      </c>
      <c r="P326" s="1">
        <v>282416136.82999998</v>
      </c>
      <c r="Q326" s="1">
        <v>66006.66</v>
      </c>
      <c r="R326" s="1">
        <v>270870375.63</v>
      </c>
      <c r="S326" s="1">
        <v>11545761.199999999</v>
      </c>
    </row>
    <row r="327" spans="1:19" x14ac:dyDescent="0.25">
      <c r="A327" s="3">
        <v>1001</v>
      </c>
      <c r="B327" s="4" t="s">
        <v>21</v>
      </c>
      <c r="C327" s="4" t="str">
        <f t="shared" si="24"/>
        <v>19</v>
      </c>
      <c r="D327" t="s">
        <v>248</v>
      </c>
      <c r="E327" s="3" t="str">
        <f t="shared" si="26"/>
        <v>190120000</v>
      </c>
      <c r="F327" t="s">
        <v>260</v>
      </c>
      <c r="G327" t="s">
        <v>265</v>
      </c>
      <c r="H327" t="s">
        <v>266</v>
      </c>
      <c r="I327">
        <v>4</v>
      </c>
      <c r="J327" t="s">
        <v>36</v>
      </c>
      <c r="K327" s="1">
        <v>5450000</v>
      </c>
      <c r="L327" s="1">
        <v>5676663.5300000003</v>
      </c>
      <c r="M327" s="1">
        <v>226663.53</v>
      </c>
      <c r="N327" s="1">
        <v>5676663.5300000003</v>
      </c>
      <c r="O327">
        <v>0</v>
      </c>
      <c r="P327" s="1">
        <v>5532258.9800000004</v>
      </c>
      <c r="Q327" s="1">
        <v>144404.54999999999</v>
      </c>
      <c r="R327" s="1">
        <v>5532258.9800000004</v>
      </c>
      <c r="S327">
        <v>0</v>
      </c>
    </row>
    <row r="328" spans="1:19" x14ac:dyDescent="0.25">
      <c r="A328" s="3">
        <v>1001</v>
      </c>
      <c r="B328" s="4" t="s">
        <v>21</v>
      </c>
      <c r="C328" s="4" t="str">
        <f t="shared" si="24"/>
        <v>19</v>
      </c>
      <c r="D328" t="s">
        <v>248</v>
      </c>
      <c r="E328" s="3" t="str">
        <f t="shared" si="26"/>
        <v>190120000</v>
      </c>
      <c r="F328" t="s">
        <v>260</v>
      </c>
      <c r="G328" t="s">
        <v>265</v>
      </c>
      <c r="H328" t="s">
        <v>266</v>
      </c>
      <c r="I328">
        <v>6</v>
      </c>
      <c r="J328" t="s">
        <v>32</v>
      </c>
      <c r="K328" s="1">
        <v>13091770</v>
      </c>
      <c r="L328" s="1">
        <v>13001592.51</v>
      </c>
      <c r="M328" s="1">
        <v>-90177.49</v>
      </c>
      <c r="N328" s="1">
        <v>1734901.21</v>
      </c>
      <c r="O328" s="1">
        <v>11266691.300000001</v>
      </c>
      <c r="P328" s="1">
        <v>1734901.21</v>
      </c>
      <c r="Q328">
        <v>0</v>
      </c>
      <c r="R328" s="1">
        <v>1358155.67</v>
      </c>
      <c r="S328" s="1">
        <v>376745.54</v>
      </c>
    </row>
    <row r="329" spans="1:19" x14ac:dyDescent="0.25">
      <c r="A329" s="3">
        <v>1001</v>
      </c>
      <c r="B329" s="4" t="s">
        <v>21</v>
      </c>
      <c r="C329" s="4" t="str">
        <f t="shared" si="24"/>
        <v>19</v>
      </c>
      <c r="D329" t="s">
        <v>248</v>
      </c>
      <c r="E329" s="3" t="str">
        <f t="shared" si="26"/>
        <v>190120000</v>
      </c>
      <c r="F329" t="s">
        <v>260</v>
      </c>
      <c r="G329" t="s">
        <v>265</v>
      </c>
      <c r="H329" t="s">
        <v>266</v>
      </c>
      <c r="I329">
        <v>7</v>
      </c>
      <c r="J329" t="s">
        <v>40</v>
      </c>
      <c r="K329" s="1">
        <v>7840000</v>
      </c>
      <c r="L329" s="1">
        <v>8520608.6400000006</v>
      </c>
      <c r="M329" s="1">
        <v>680608.64</v>
      </c>
      <c r="N329" s="1">
        <v>4949276.1399999997</v>
      </c>
      <c r="O329" s="1">
        <v>3571332.5</v>
      </c>
      <c r="P329" s="1">
        <v>4939090.84</v>
      </c>
      <c r="Q329" s="1">
        <v>10185.299999999999</v>
      </c>
      <c r="R329" s="1">
        <v>4939090.84</v>
      </c>
      <c r="S329">
        <v>0</v>
      </c>
    </row>
    <row r="330" spans="1:19" x14ac:dyDescent="0.25">
      <c r="A330" s="3">
        <v>1001</v>
      </c>
      <c r="B330" s="4" t="s">
        <v>21</v>
      </c>
      <c r="C330" s="4" t="str">
        <f t="shared" si="24"/>
        <v>19</v>
      </c>
      <c r="D330" t="s">
        <v>248</v>
      </c>
      <c r="E330" s="3" t="str">
        <f>"190130000"</f>
        <v>190130000</v>
      </c>
      <c r="F330" t="s">
        <v>267</v>
      </c>
      <c r="G330" t="s">
        <v>268</v>
      </c>
      <c r="H330" t="s">
        <v>269</v>
      </c>
      <c r="I330">
        <v>1</v>
      </c>
      <c r="J330" t="s">
        <v>25</v>
      </c>
      <c r="K330" s="1">
        <v>3758407</v>
      </c>
      <c r="L330" s="1">
        <v>3435418.48</v>
      </c>
      <c r="M330" s="1">
        <v>-322988.52</v>
      </c>
      <c r="N330" s="1">
        <v>3435412.55</v>
      </c>
      <c r="O330">
        <v>5.93</v>
      </c>
      <c r="P330" s="1">
        <v>3435412.55</v>
      </c>
      <c r="Q330">
        <v>0</v>
      </c>
      <c r="R330" s="1">
        <v>3435412.55</v>
      </c>
      <c r="S330">
        <v>0</v>
      </c>
    </row>
    <row r="331" spans="1:19" x14ac:dyDescent="0.25">
      <c r="A331" s="3">
        <v>1001</v>
      </c>
      <c r="B331" s="4" t="s">
        <v>21</v>
      </c>
      <c r="C331" s="4" t="str">
        <f t="shared" ref="C331:C358" si="27">"19"</f>
        <v>19</v>
      </c>
      <c r="D331" t="s">
        <v>248</v>
      </c>
      <c r="E331" s="3" t="str">
        <f>"190130000"</f>
        <v>190130000</v>
      </c>
      <c r="F331" t="s">
        <v>267</v>
      </c>
      <c r="G331" t="s">
        <v>268</v>
      </c>
      <c r="H331" t="s">
        <v>269</v>
      </c>
      <c r="I331">
        <v>2</v>
      </c>
      <c r="J331" t="s">
        <v>26</v>
      </c>
      <c r="K331" s="1">
        <v>15845401</v>
      </c>
      <c r="L331" s="1">
        <v>14505226.609999999</v>
      </c>
      <c r="M331" s="1">
        <v>-1340174.3899999999</v>
      </c>
      <c r="N331" s="1">
        <v>14043569.59</v>
      </c>
      <c r="O331" s="1">
        <v>461657.02</v>
      </c>
      <c r="P331" s="1">
        <v>14043569.59</v>
      </c>
      <c r="Q331">
        <v>0</v>
      </c>
      <c r="R331" s="1">
        <v>13668137.109999999</v>
      </c>
      <c r="S331" s="1">
        <v>375432.48</v>
      </c>
    </row>
    <row r="332" spans="1:19" x14ac:dyDescent="0.25">
      <c r="A332" s="3">
        <v>1001</v>
      </c>
      <c r="B332" s="4" t="s">
        <v>21</v>
      </c>
      <c r="C332" s="4" t="str">
        <f t="shared" si="27"/>
        <v>19</v>
      </c>
      <c r="D332" t="s">
        <v>248</v>
      </c>
      <c r="E332" s="3" t="str">
        <f>"190130000"</f>
        <v>190130000</v>
      </c>
      <c r="F332" t="s">
        <v>267</v>
      </c>
      <c r="G332" t="s">
        <v>268</v>
      </c>
      <c r="H332" t="s">
        <v>269</v>
      </c>
      <c r="I332">
        <v>4</v>
      </c>
      <c r="J332" t="s">
        <v>36</v>
      </c>
      <c r="K332" s="1">
        <v>11207252</v>
      </c>
      <c r="L332" s="1">
        <v>28960898.190000001</v>
      </c>
      <c r="M332" s="1">
        <v>17753646.190000001</v>
      </c>
      <c r="N332" s="1">
        <v>26697159.77</v>
      </c>
      <c r="O332" s="1">
        <v>2263738.42</v>
      </c>
      <c r="P332" s="1">
        <v>26493007.57</v>
      </c>
      <c r="Q332" s="1">
        <v>204152.2</v>
      </c>
      <c r="R332" s="1">
        <v>25976497.07</v>
      </c>
      <c r="S332" s="1">
        <v>516510.5</v>
      </c>
    </row>
    <row r="333" spans="1:19" x14ac:dyDescent="0.25">
      <c r="A333" s="3">
        <v>1001</v>
      </c>
      <c r="B333" s="4" t="s">
        <v>21</v>
      </c>
      <c r="C333" s="4" t="str">
        <f t="shared" si="27"/>
        <v>19</v>
      </c>
      <c r="D333" t="s">
        <v>248</v>
      </c>
      <c r="E333" s="3" t="str">
        <f>"190130000"</f>
        <v>190130000</v>
      </c>
      <c r="F333" t="s">
        <v>267</v>
      </c>
      <c r="G333" t="s">
        <v>268</v>
      </c>
      <c r="H333" t="s">
        <v>269</v>
      </c>
      <c r="I333">
        <v>6</v>
      </c>
      <c r="J333" t="s">
        <v>32</v>
      </c>
      <c r="K333" s="1">
        <v>3135732</v>
      </c>
      <c r="L333" s="1">
        <v>3290603.51</v>
      </c>
      <c r="M333" s="1">
        <v>154871.51</v>
      </c>
      <c r="N333" s="1">
        <v>390337.44</v>
      </c>
      <c r="O333" s="1">
        <v>2900266.07</v>
      </c>
      <c r="P333" s="1">
        <v>390337.44</v>
      </c>
      <c r="Q333">
        <v>0</v>
      </c>
      <c r="R333" s="1">
        <v>232314.84</v>
      </c>
      <c r="S333" s="1">
        <v>158022.6</v>
      </c>
    </row>
    <row r="334" spans="1:19" x14ac:dyDescent="0.25">
      <c r="A334" s="3">
        <v>1001</v>
      </c>
      <c r="B334" s="4" t="s">
        <v>21</v>
      </c>
      <c r="C334" s="4" t="str">
        <f t="shared" si="27"/>
        <v>19</v>
      </c>
      <c r="D334" t="s">
        <v>248</v>
      </c>
      <c r="E334" s="3" t="str">
        <f>"190130000"</f>
        <v>190130000</v>
      </c>
      <c r="F334" t="s">
        <v>267</v>
      </c>
      <c r="G334" t="s">
        <v>268</v>
      </c>
      <c r="H334" t="s">
        <v>269</v>
      </c>
      <c r="I334">
        <v>7</v>
      </c>
      <c r="J334" t="s">
        <v>40</v>
      </c>
      <c r="K334" s="1">
        <v>363931</v>
      </c>
      <c r="L334" s="1">
        <v>162339.49</v>
      </c>
      <c r="M334" s="1">
        <v>-201591.51</v>
      </c>
      <c r="N334">
        <v>0</v>
      </c>
      <c r="O334" s="1">
        <v>162339.49</v>
      </c>
      <c r="P334">
        <v>0</v>
      </c>
      <c r="Q334">
        <v>0</v>
      </c>
      <c r="R334">
        <v>0</v>
      </c>
      <c r="S334">
        <v>0</v>
      </c>
    </row>
    <row r="335" spans="1:19" x14ac:dyDescent="0.25">
      <c r="A335" s="3">
        <v>1001</v>
      </c>
      <c r="B335" s="4" t="s">
        <v>21</v>
      </c>
      <c r="C335" s="4" t="str">
        <f t="shared" si="27"/>
        <v>19</v>
      </c>
      <c r="D335" t="s">
        <v>248</v>
      </c>
      <c r="E335" s="3" t="str">
        <f>"190170000"</f>
        <v>190170000</v>
      </c>
      <c r="F335" t="s">
        <v>270</v>
      </c>
      <c r="G335" t="s">
        <v>271</v>
      </c>
      <c r="H335" t="s">
        <v>272</v>
      </c>
      <c r="I335">
        <v>1</v>
      </c>
      <c r="J335" t="s">
        <v>25</v>
      </c>
      <c r="K335" s="1">
        <v>11479530</v>
      </c>
      <c r="L335" s="1">
        <v>11640439.279999999</v>
      </c>
      <c r="M335" s="1">
        <v>160909.28</v>
      </c>
      <c r="N335" s="1">
        <v>11640433.859999999</v>
      </c>
      <c r="O335">
        <v>5.42</v>
      </c>
      <c r="P335" s="1">
        <v>11640433.859999999</v>
      </c>
      <c r="Q335">
        <v>0</v>
      </c>
      <c r="R335" s="1">
        <v>11640433.859999999</v>
      </c>
      <c r="S335">
        <v>0</v>
      </c>
    </row>
    <row r="336" spans="1:19" x14ac:dyDescent="0.25">
      <c r="A336" s="3">
        <v>1001</v>
      </c>
      <c r="B336" s="4" t="s">
        <v>21</v>
      </c>
      <c r="C336" s="4" t="str">
        <f t="shared" si="27"/>
        <v>19</v>
      </c>
      <c r="D336" t="s">
        <v>248</v>
      </c>
      <c r="E336" s="3" t="str">
        <f>"190170000"</f>
        <v>190170000</v>
      </c>
      <c r="F336" t="s">
        <v>270</v>
      </c>
      <c r="G336" t="s">
        <v>271</v>
      </c>
      <c r="H336" t="s">
        <v>272</v>
      </c>
      <c r="I336">
        <v>2</v>
      </c>
      <c r="J336" t="s">
        <v>26</v>
      </c>
      <c r="K336" s="1">
        <v>65729822</v>
      </c>
      <c r="L336" s="1">
        <v>63859021.909999996</v>
      </c>
      <c r="M336" s="1">
        <v>-1870800.09</v>
      </c>
      <c r="N336" s="1">
        <v>63114596.82</v>
      </c>
      <c r="O336" s="1">
        <v>744425.09</v>
      </c>
      <c r="P336" s="1">
        <v>61963421.82</v>
      </c>
      <c r="Q336" s="1">
        <v>1151175</v>
      </c>
      <c r="R336" s="1">
        <v>60265324.509999998</v>
      </c>
      <c r="S336" s="1">
        <v>1698097.31</v>
      </c>
    </row>
    <row r="337" spans="1:19" x14ac:dyDescent="0.25">
      <c r="A337" s="3">
        <v>1001</v>
      </c>
      <c r="B337" s="4" t="s">
        <v>21</v>
      </c>
      <c r="C337" s="4" t="str">
        <f t="shared" si="27"/>
        <v>19</v>
      </c>
      <c r="D337" t="s">
        <v>248</v>
      </c>
      <c r="E337" s="3" t="str">
        <f>"190170000"</f>
        <v>190170000</v>
      </c>
      <c r="F337" t="s">
        <v>270</v>
      </c>
      <c r="G337" t="s">
        <v>271</v>
      </c>
      <c r="H337" t="s">
        <v>272</v>
      </c>
      <c r="I337">
        <v>4</v>
      </c>
      <c r="J337" t="s">
        <v>36</v>
      </c>
      <c r="K337" s="1">
        <v>35127692</v>
      </c>
      <c r="L337" s="1">
        <v>88410423.930000007</v>
      </c>
      <c r="M337" s="1">
        <v>53282731.93</v>
      </c>
      <c r="N337" s="1">
        <v>88408425.090000004</v>
      </c>
      <c r="O337" s="1">
        <v>1998.84</v>
      </c>
      <c r="P337" s="1">
        <v>88265404.219999999</v>
      </c>
      <c r="Q337" s="1">
        <v>143020.87</v>
      </c>
      <c r="R337" s="1">
        <v>88265404.209999993</v>
      </c>
      <c r="S337">
        <v>0.01</v>
      </c>
    </row>
    <row r="338" spans="1:19" x14ac:dyDescent="0.25">
      <c r="A338" s="3">
        <v>1001</v>
      </c>
      <c r="B338" s="4" t="s">
        <v>21</v>
      </c>
      <c r="C338" s="4" t="str">
        <f t="shared" si="27"/>
        <v>19</v>
      </c>
      <c r="D338" t="s">
        <v>248</v>
      </c>
      <c r="E338" s="3" t="str">
        <f>"190170000"</f>
        <v>190170000</v>
      </c>
      <c r="F338" t="s">
        <v>270</v>
      </c>
      <c r="G338" t="s">
        <v>271</v>
      </c>
      <c r="H338" t="s">
        <v>272</v>
      </c>
      <c r="I338">
        <v>6</v>
      </c>
      <c r="J338" t="s">
        <v>32</v>
      </c>
      <c r="K338" s="1">
        <v>400000</v>
      </c>
      <c r="L338" s="1">
        <v>106735.39</v>
      </c>
      <c r="M338" s="1">
        <v>-293264.61</v>
      </c>
      <c r="N338" s="1">
        <v>106734.49</v>
      </c>
      <c r="O338">
        <v>0.9</v>
      </c>
      <c r="P338" s="1">
        <v>106734.49</v>
      </c>
      <c r="Q338">
        <v>0</v>
      </c>
      <c r="R338" s="1">
        <v>106734.49</v>
      </c>
      <c r="S338">
        <v>0</v>
      </c>
    </row>
    <row r="339" spans="1:19" x14ac:dyDescent="0.25">
      <c r="A339" s="3">
        <v>1001</v>
      </c>
      <c r="B339" s="4" t="s">
        <v>21</v>
      </c>
      <c r="C339" s="4" t="str">
        <f t="shared" si="27"/>
        <v>19</v>
      </c>
      <c r="D339" t="s">
        <v>248</v>
      </c>
      <c r="E339" s="3" t="str">
        <f>"190170000"</f>
        <v>190170000</v>
      </c>
      <c r="F339" t="s">
        <v>270</v>
      </c>
      <c r="G339" t="s">
        <v>271</v>
      </c>
      <c r="H339" t="s">
        <v>272</v>
      </c>
      <c r="I339">
        <v>7</v>
      </c>
      <c r="J339" t="s">
        <v>40</v>
      </c>
      <c r="K339" s="1">
        <v>182175</v>
      </c>
      <c r="L339" s="1">
        <v>182175</v>
      </c>
      <c r="M339">
        <v>0</v>
      </c>
      <c r="N339" s="1">
        <v>12140.33</v>
      </c>
      <c r="O339" s="1">
        <v>170034.67</v>
      </c>
      <c r="P339" s="1">
        <v>12140.33</v>
      </c>
      <c r="Q339">
        <v>0</v>
      </c>
      <c r="R339" s="1">
        <v>12140.33</v>
      </c>
      <c r="S339">
        <v>0</v>
      </c>
    </row>
    <row r="340" spans="1:19" x14ac:dyDescent="0.25">
      <c r="A340" s="3">
        <v>1001</v>
      </c>
      <c r="B340" s="4" t="s">
        <v>21</v>
      </c>
      <c r="C340" s="4" t="str">
        <f t="shared" si="27"/>
        <v>19</v>
      </c>
      <c r="D340" t="s">
        <v>248</v>
      </c>
      <c r="E340" s="3" t="str">
        <f t="shared" ref="E340:E345" si="28">"190180000"</f>
        <v>190180000</v>
      </c>
      <c r="F340" t="s">
        <v>273</v>
      </c>
      <c r="G340" t="s">
        <v>274</v>
      </c>
      <c r="H340" t="s">
        <v>275</v>
      </c>
      <c r="I340">
        <v>1</v>
      </c>
      <c r="J340" t="s">
        <v>25</v>
      </c>
      <c r="K340" s="1">
        <v>10547389</v>
      </c>
      <c r="L340" s="1">
        <v>9447802.8000000007</v>
      </c>
      <c r="M340" s="1">
        <v>-1099586.2</v>
      </c>
      <c r="N340" s="1">
        <v>9447799.1999999993</v>
      </c>
      <c r="O340">
        <v>3.6</v>
      </c>
      <c r="P340" s="1">
        <v>9447799.1999999993</v>
      </c>
      <c r="Q340">
        <v>0</v>
      </c>
      <c r="R340" s="1">
        <v>9447799.1999999993</v>
      </c>
      <c r="S340">
        <v>0</v>
      </c>
    </row>
    <row r="341" spans="1:19" x14ac:dyDescent="0.25">
      <c r="A341" s="3">
        <v>1001</v>
      </c>
      <c r="B341" s="4" t="s">
        <v>21</v>
      </c>
      <c r="C341" s="4" t="str">
        <f t="shared" si="27"/>
        <v>19</v>
      </c>
      <c r="D341" t="s">
        <v>248</v>
      </c>
      <c r="E341" s="3" t="str">
        <f t="shared" si="28"/>
        <v>190180000</v>
      </c>
      <c r="F341" t="s">
        <v>273</v>
      </c>
      <c r="G341" t="s">
        <v>274</v>
      </c>
      <c r="H341" t="s">
        <v>275</v>
      </c>
      <c r="I341">
        <v>2</v>
      </c>
      <c r="J341" t="s">
        <v>26</v>
      </c>
      <c r="K341" s="1">
        <v>3475578</v>
      </c>
      <c r="L341" s="1">
        <v>4465465.63</v>
      </c>
      <c r="M341" s="1">
        <v>989887.63</v>
      </c>
      <c r="N341" s="1">
        <v>4102925.81</v>
      </c>
      <c r="O341" s="1">
        <v>362539.82</v>
      </c>
      <c r="P341" s="1">
        <v>4101704.51</v>
      </c>
      <c r="Q341" s="1">
        <v>1221.3</v>
      </c>
      <c r="R341" s="1">
        <v>3976406.03</v>
      </c>
      <c r="S341" s="1">
        <v>125298.48</v>
      </c>
    </row>
    <row r="342" spans="1:19" x14ac:dyDescent="0.25">
      <c r="A342" s="3">
        <v>1001</v>
      </c>
      <c r="B342" s="4" t="s">
        <v>21</v>
      </c>
      <c r="C342" s="4" t="str">
        <f t="shared" si="27"/>
        <v>19</v>
      </c>
      <c r="D342" t="s">
        <v>248</v>
      </c>
      <c r="E342" s="3" t="str">
        <f t="shared" si="28"/>
        <v>190180000</v>
      </c>
      <c r="F342" t="s">
        <v>273</v>
      </c>
      <c r="G342" t="s">
        <v>274</v>
      </c>
      <c r="H342" t="s">
        <v>275</v>
      </c>
      <c r="I342">
        <v>4</v>
      </c>
      <c r="J342" t="s">
        <v>36</v>
      </c>
      <c r="K342" s="1">
        <v>1206010</v>
      </c>
      <c r="L342" s="1">
        <v>1183013.05</v>
      </c>
      <c r="M342" s="1">
        <v>-22996.95</v>
      </c>
      <c r="N342" s="1">
        <v>1183013.05</v>
      </c>
      <c r="O342">
        <v>0</v>
      </c>
      <c r="P342" s="1">
        <v>1123013.05</v>
      </c>
      <c r="Q342" s="1">
        <v>60000</v>
      </c>
      <c r="R342" s="1">
        <v>1123013.05</v>
      </c>
      <c r="S342">
        <v>0</v>
      </c>
    </row>
    <row r="343" spans="1:19" x14ac:dyDescent="0.25">
      <c r="A343" s="3">
        <v>1001</v>
      </c>
      <c r="B343" s="4" t="s">
        <v>21</v>
      </c>
      <c r="C343" s="4" t="str">
        <f t="shared" si="27"/>
        <v>19</v>
      </c>
      <c r="D343" t="s">
        <v>248</v>
      </c>
      <c r="E343" s="3" t="str">
        <f t="shared" si="28"/>
        <v>190180000</v>
      </c>
      <c r="F343" t="s">
        <v>273</v>
      </c>
      <c r="G343" t="s">
        <v>274</v>
      </c>
      <c r="H343" t="s">
        <v>275</v>
      </c>
      <c r="I343">
        <v>6</v>
      </c>
      <c r="J343" t="s">
        <v>32</v>
      </c>
      <c r="K343" s="1">
        <v>1732184</v>
      </c>
      <c r="L343" s="1">
        <v>1331750.31</v>
      </c>
      <c r="M343" s="1">
        <v>-400433.69</v>
      </c>
      <c r="N343" s="1">
        <v>1211615.7</v>
      </c>
      <c r="O343" s="1">
        <v>120134.61</v>
      </c>
      <c r="P343" s="1">
        <v>1211615.7</v>
      </c>
      <c r="Q343">
        <v>0</v>
      </c>
      <c r="R343" s="1">
        <v>768586.39</v>
      </c>
      <c r="S343" s="1">
        <v>443029.31</v>
      </c>
    </row>
    <row r="344" spans="1:19" x14ac:dyDescent="0.25">
      <c r="A344" s="3">
        <v>1001</v>
      </c>
      <c r="B344" s="4" t="s">
        <v>21</v>
      </c>
      <c r="C344" s="4" t="str">
        <f t="shared" si="27"/>
        <v>19</v>
      </c>
      <c r="D344" t="s">
        <v>248</v>
      </c>
      <c r="E344" s="3" t="str">
        <f t="shared" si="28"/>
        <v>190180000</v>
      </c>
      <c r="F344" t="s">
        <v>273</v>
      </c>
      <c r="G344" t="s">
        <v>274</v>
      </c>
      <c r="H344" t="s">
        <v>275</v>
      </c>
      <c r="I344">
        <v>7</v>
      </c>
      <c r="J344" t="s">
        <v>40</v>
      </c>
      <c r="K344" s="1">
        <v>450000</v>
      </c>
      <c r="L344" s="1">
        <v>450000</v>
      </c>
      <c r="M344">
        <v>0</v>
      </c>
      <c r="N344" s="1">
        <v>450000</v>
      </c>
      <c r="O344">
        <v>0</v>
      </c>
      <c r="P344" s="1">
        <v>450000</v>
      </c>
      <c r="Q344">
        <v>0</v>
      </c>
      <c r="R344" s="1">
        <v>450000</v>
      </c>
      <c r="S344">
        <v>0</v>
      </c>
    </row>
    <row r="345" spans="1:19" x14ac:dyDescent="0.25">
      <c r="A345" s="3">
        <v>1001</v>
      </c>
      <c r="B345" s="4" t="s">
        <v>21</v>
      </c>
      <c r="C345" s="4" t="str">
        <f t="shared" si="27"/>
        <v>19</v>
      </c>
      <c r="D345" t="s">
        <v>248</v>
      </c>
      <c r="E345" s="3" t="str">
        <f t="shared" si="28"/>
        <v>190180000</v>
      </c>
      <c r="F345" t="s">
        <v>273</v>
      </c>
      <c r="G345" t="s">
        <v>274</v>
      </c>
      <c r="H345" t="s">
        <v>275</v>
      </c>
      <c r="I345">
        <v>8</v>
      </c>
      <c r="J345" t="s">
        <v>27</v>
      </c>
      <c r="K345" s="1">
        <v>200000</v>
      </c>
      <c r="L345" s="1">
        <v>100000</v>
      </c>
      <c r="M345" s="1">
        <v>-100000</v>
      </c>
      <c r="N345" s="1">
        <v>100000</v>
      </c>
      <c r="O345">
        <v>0</v>
      </c>
      <c r="P345" s="1">
        <v>100000</v>
      </c>
      <c r="Q345">
        <v>0</v>
      </c>
      <c r="R345" s="1">
        <v>100000</v>
      </c>
      <c r="S345">
        <v>0</v>
      </c>
    </row>
    <row r="346" spans="1:19" x14ac:dyDescent="0.25">
      <c r="A346" s="3">
        <v>1001</v>
      </c>
      <c r="B346" s="4" t="s">
        <v>21</v>
      </c>
      <c r="C346" s="4" t="str">
        <f t="shared" si="27"/>
        <v>19</v>
      </c>
      <c r="D346" t="s">
        <v>248</v>
      </c>
      <c r="E346" s="3" t="str">
        <f t="shared" ref="E346:E355" si="29">"190190000"</f>
        <v>190190000</v>
      </c>
      <c r="F346" t="s">
        <v>276</v>
      </c>
      <c r="G346" t="s">
        <v>277</v>
      </c>
      <c r="H346" t="s">
        <v>278</v>
      </c>
      <c r="I346">
        <v>1</v>
      </c>
      <c r="J346" t="s">
        <v>25</v>
      </c>
      <c r="K346" s="1">
        <v>890928</v>
      </c>
      <c r="L346" s="1">
        <v>559491.26</v>
      </c>
      <c r="M346" s="1">
        <v>-331436.74</v>
      </c>
      <c r="N346" s="1">
        <v>559488.23</v>
      </c>
      <c r="O346">
        <v>3.03</v>
      </c>
      <c r="P346" s="1">
        <v>559488.23</v>
      </c>
      <c r="Q346">
        <v>0</v>
      </c>
      <c r="R346" s="1">
        <v>559488.23</v>
      </c>
      <c r="S346">
        <v>0</v>
      </c>
    </row>
    <row r="347" spans="1:19" x14ac:dyDescent="0.25">
      <c r="A347" s="3">
        <v>1001</v>
      </c>
      <c r="B347" s="4" t="s">
        <v>21</v>
      </c>
      <c r="C347" s="4" t="str">
        <f t="shared" si="27"/>
        <v>19</v>
      </c>
      <c r="D347" t="s">
        <v>248</v>
      </c>
      <c r="E347" s="3" t="str">
        <f t="shared" si="29"/>
        <v>190190000</v>
      </c>
      <c r="F347" t="s">
        <v>276</v>
      </c>
      <c r="G347" t="s">
        <v>277</v>
      </c>
      <c r="H347" t="s">
        <v>278</v>
      </c>
      <c r="I347">
        <v>2</v>
      </c>
      <c r="J347" t="s">
        <v>26</v>
      </c>
      <c r="K347" s="1">
        <v>3049752</v>
      </c>
      <c r="L347" s="1">
        <v>2700976.68</v>
      </c>
      <c r="M347" s="1">
        <v>-348775.32</v>
      </c>
      <c r="N347" s="1">
        <v>2685296.68</v>
      </c>
      <c r="O347" s="1">
        <v>15680</v>
      </c>
      <c r="P347" s="1">
        <v>2685296.68</v>
      </c>
      <c r="Q347">
        <v>0</v>
      </c>
      <c r="R347" s="1">
        <v>2650554.8199999998</v>
      </c>
      <c r="S347" s="1">
        <v>34741.86</v>
      </c>
    </row>
    <row r="348" spans="1:19" x14ac:dyDescent="0.25">
      <c r="A348" s="3">
        <v>1001</v>
      </c>
      <c r="B348" s="4" t="s">
        <v>21</v>
      </c>
      <c r="C348" s="4" t="str">
        <f t="shared" si="27"/>
        <v>19</v>
      </c>
      <c r="D348" t="s">
        <v>248</v>
      </c>
      <c r="E348" s="3" t="str">
        <f t="shared" si="29"/>
        <v>190190000</v>
      </c>
      <c r="F348" t="s">
        <v>276</v>
      </c>
      <c r="G348" t="s">
        <v>277</v>
      </c>
      <c r="H348" t="s">
        <v>278</v>
      </c>
      <c r="I348">
        <v>4</v>
      </c>
      <c r="J348" t="s">
        <v>36</v>
      </c>
      <c r="K348" s="1">
        <v>200000</v>
      </c>
      <c r="L348" s="1">
        <v>200000</v>
      </c>
      <c r="M348">
        <v>0</v>
      </c>
      <c r="N348" s="1">
        <v>200000</v>
      </c>
      <c r="O348">
        <v>0</v>
      </c>
      <c r="P348" s="1">
        <v>200000</v>
      </c>
      <c r="Q348">
        <v>0</v>
      </c>
      <c r="R348" s="1">
        <v>200000</v>
      </c>
      <c r="S348">
        <v>0</v>
      </c>
    </row>
    <row r="349" spans="1:19" x14ac:dyDescent="0.25">
      <c r="A349" s="3">
        <v>1001</v>
      </c>
      <c r="B349" s="4" t="s">
        <v>21</v>
      </c>
      <c r="C349" s="4" t="str">
        <f t="shared" si="27"/>
        <v>19</v>
      </c>
      <c r="D349" t="s">
        <v>248</v>
      </c>
      <c r="E349" s="3" t="str">
        <f t="shared" si="29"/>
        <v>190190000</v>
      </c>
      <c r="F349" t="s">
        <v>276</v>
      </c>
      <c r="G349" t="s">
        <v>279</v>
      </c>
      <c r="H349" t="s">
        <v>280</v>
      </c>
      <c r="I349">
        <v>1</v>
      </c>
      <c r="J349" t="s">
        <v>25</v>
      </c>
      <c r="K349" s="1">
        <v>857715</v>
      </c>
      <c r="L349" s="1">
        <v>846449.38</v>
      </c>
      <c r="M349" s="1">
        <v>-11265.62</v>
      </c>
      <c r="N349" s="1">
        <v>846444.51</v>
      </c>
      <c r="O349">
        <v>4.87</v>
      </c>
      <c r="P349" s="1">
        <v>846444.51</v>
      </c>
      <c r="Q349">
        <v>0</v>
      </c>
      <c r="R349" s="1">
        <v>846444.51</v>
      </c>
      <c r="S349">
        <v>0</v>
      </c>
    </row>
    <row r="350" spans="1:19" x14ac:dyDescent="0.25">
      <c r="A350" s="3">
        <v>1001</v>
      </c>
      <c r="B350" s="4" t="s">
        <v>21</v>
      </c>
      <c r="C350" s="4" t="str">
        <f t="shared" si="27"/>
        <v>19</v>
      </c>
      <c r="D350" t="s">
        <v>248</v>
      </c>
      <c r="E350" s="3" t="str">
        <f t="shared" si="29"/>
        <v>190190000</v>
      </c>
      <c r="F350" t="s">
        <v>276</v>
      </c>
      <c r="G350" t="s">
        <v>279</v>
      </c>
      <c r="H350" t="s">
        <v>280</v>
      </c>
      <c r="I350">
        <v>2</v>
      </c>
      <c r="J350" t="s">
        <v>26</v>
      </c>
      <c r="K350" s="1">
        <v>658989</v>
      </c>
      <c r="L350" s="1">
        <v>372778.2</v>
      </c>
      <c r="M350" s="1">
        <v>-286210.8</v>
      </c>
      <c r="N350" s="1">
        <v>284370.68</v>
      </c>
      <c r="O350" s="1">
        <v>88407.52</v>
      </c>
      <c r="P350" s="1">
        <v>284370.68</v>
      </c>
      <c r="Q350">
        <v>0</v>
      </c>
      <c r="R350" s="1">
        <v>265994.99</v>
      </c>
      <c r="S350" s="1">
        <v>18375.689999999999</v>
      </c>
    </row>
    <row r="351" spans="1:19" x14ac:dyDescent="0.25">
      <c r="A351" s="3">
        <v>1001</v>
      </c>
      <c r="B351" s="4" t="s">
        <v>21</v>
      </c>
      <c r="C351" s="4" t="str">
        <f t="shared" si="27"/>
        <v>19</v>
      </c>
      <c r="D351" t="s">
        <v>248</v>
      </c>
      <c r="E351" s="3" t="str">
        <f t="shared" si="29"/>
        <v>190190000</v>
      </c>
      <c r="F351" t="s">
        <v>276</v>
      </c>
      <c r="G351" t="s">
        <v>279</v>
      </c>
      <c r="H351" t="s">
        <v>280</v>
      </c>
      <c r="I351">
        <v>4</v>
      </c>
      <c r="J351" t="s">
        <v>36</v>
      </c>
      <c r="K351" s="1">
        <v>3720000</v>
      </c>
      <c r="L351" s="1">
        <v>4019904</v>
      </c>
      <c r="M351" s="1">
        <v>299904</v>
      </c>
      <c r="N351" s="1">
        <v>4019904</v>
      </c>
      <c r="O351">
        <v>0</v>
      </c>
      <c r="P351" s="1">
        <v>4000139.17</v>
      </c>
      <c r="Q351" s="1">
        <v>19764.830000000002</v>
      </c>
      <c r="R351" s="1">
        <v>4000139.17</v>
      </c>
      <c r="S351">
        <v>0</v>
      </c>
    </row>
    <row r="352" spans="1:19" x14ac:dyDescent="0.25">
      <c r="A352" s="3">
        <v>1001</v>
      </c>
      <c r="B352" s="4" t="s">
        <v>21</v>
      </c>
      <c r="C352" s="4" t="str">
        <f t="shared" si="27"/>
        <v>19</v>
      </c>
      <c r="D352" t="s">
        <v>248</v>
      </c>
      <c r="E352" s="3" t="str">
        <f t="shared" si="29"/>
        <v>190190000</v>
      </c>
      <c r="F352" t="s">
        <v>276</v>
      </c>
      <c r="G352" t="s">
        <v>279</v>
      </c>
      <c r="H352" t="s">
        <v>280</v>
      </c>
      <c r="I352">
        <v>7</v>
      </c>
      <c r="J352" t="s">
        <v>40</v>
      </c>
      <c r="K352" s="1">
        <v>910000</v>
      </c>
      <c r="L352" s="1">
        <v>800000</v>
      </c>
      <c r="M352" s="1">
        <v>-110000</v>
      </c>
      <c r="N352" s="1">
        <v>800000</v>
      </c>
      <c r="O352">
        <v>0</v>
      </c>
      <c r="P352" s="1">
        <v>800000</v>
      </c>
      <c r="Q352">
        <v>0</v>
      </c>
      <c r="R352" s="1">
        <v>800000</v>
      </c>
      <c r="S352">
        <v>0</v>
      </c>
    </row>
    <row r="353" spans="1:19" x14ac:dyDescent="0.25">
      <c r="A353" s="3">
        <v>1001</v>
      </c>
      <c r="B353" s="4" t="s">
        <v>21</v>
      </c>
      <c r="C353" s="4" t="str">
        <f t="shared" si="27"/>
        <v>19</v>
      </c>
      <c r="D353" t="s">
        <v>248</v>
      </c>
      <c r="E353" s="3" t="str">
        <f t="shared" si="29"/>
        <v>190190000</v>
      </c>
      <c r="F353" t="s">
        <v>276</v>
      </c>
      <c r="G353" t="s">
        <v>281</v>
      </c>
      <c r="H353" t="s">
        <v>282</v>
      </c>
      <c r="I353">
        <v>1</v>
      </c>
      <c r="J353" t="s">
        <v>25</v>
      </c>
      <c r="K353" s="1">
        <v>5970102</v>
      </c>
      <c r="L353" s="1">
        <v>5087334.2699999996</v>
      </c>
      <c r="M353" s="1">
        <v>-882767.73</v>
      </c>
      <c r="N353" s="1">
        <v>5087328.8</v>
      </c>
      <c r="O353">
        <v>5.47</v>
      </c>
      <c r="P353" s="1">
        <v>5087328.8</v>
      </c>
      <c r="Q353">
        <v>0</v>
      </c>
      <c r="R353" s="1">
        <v>5087328.8</v>
      </c>
      <c r="S353">
        <v>0</v>
      </c>
    </row>
    <row r="354" spans="1:19" x14ac:dyDescent="0.25">
      <c r="A354" s="3">
        <v>1001</v>
      </c>
      <c r="B354" s="4" t="s">
        <v>21</v>
      </c>
      <c r="C354" s="4" t="str">
        <f t="shared" si="27"/>
        <v>19</v>
      </c>
      <c r="D354" t="s">
        <v>248</v>
      </c>
      <c r="E354" s="3" t="str">
        <f t="shared" si="29"/>
        <v>190190000</v>
      </c>
      <c r="F354" t="s">
        <v>276</v>
      </c>
      <c r="G354" t="s">
        <v>281</v>
      </c>
      <c r="H354" t="s">
        <v>282</v>
      </c>
      <c r="I354">
        <v>2</v>
      </c>
      <c r="J354" t="s">
        <v>26</v>
      </c>
      <c r="K354" s="1">
        <v>5309188</v>
      </c>
      <c r="L354" s="1">
        <v>6653552.6100000003</v>
      </c>
      <c r="M354" s="1">
        <v>1344364.61</v>
      </c>
      <c r="N354" s="1">
        <v>6518009.4500000002</v>
      </c>
      <c r="O354" s="1">
        <v>135543.16</v>
      </c>
      <c r="P354" s="1">
        <v>6518009.4500000002</v>
      </c>
      <c r="Q354">
        <v>0</v>
      </c>
      <c r="R354" s="1">
        <v>6267342.2699999996</v>
      </c>
      <c r="S354" s="1">
        <v>250667.18</v>
      </c>
    </row>
    <row r="355" spans="1:19" x14ac:dyDescent="0.25">
      <c r="A355" s="3">
        <v>1001</v>
      </c>
      <c r="B355" s="4" t="s">
        <v>21</v>
      </c>
      <c r="C355" s="4" t="str">
        <f t="shared" si="27"/>
        <v>19</v>
      </c>
      <c r="D355" t="s">
        <v>248</v>
      </c>
      <c r="E355" s="3" t="str">
        <f t="shared" si="29"/>
        <v>190190000</v>
      </c>
      <c r="F355" t="s">
        <v>276</v>
      </c>
      <c r="G355" t="s">
        <v>281</v>
      </c>
      <c r="H355" t="s">
        <v>282</v>
      </c>
      <c r="I355">
        <v>4</v>
      </c>
      <c r="J355" t="s">
        <v>36</v>
      </c>
      <c r="K355" s="1">
        <v>45873000</v>
      </c>
      <c r="L355" s="1">
        <v>91372208.629999995</v>
      </c>
      <c r="M355" s="1">
        <v>45499208.630000003</v>
      </c>
      <c r="N355" s="1">
        <v>91334002.120000005</v>
      </c>
      <c r="O355" s="1">
        <v>38206.51</v>
      </c>
      <c r="P355" s="1">
        <v>88127841.900000006</v>
      </c>
      <c r="Q355" s="1">
        <v>3206160.22</v>
      </c>
      <c r="R355" s="1">
        <v>87995548.459999993</v>
      </c>
      <c r="S355" s="1">
        <v>132293.44</v>
      </c>
    </row>
    <row r="356" spans="1:19" x14ac:dyDescent="0.25">
      <c r="A356" s="3">
        <v>1001</v>
      </c>
      <c r="B356" s="4" t="s">
        <v>21</v>
      </c>
      <c r="C356" s="4" t="str">
        <f t="shared" si="27"/>
        <v>19</v>
      </c>
      <c r="D356" t="s">
        <v>248</v>
      </c>
      <c r="E356" s="3" t="str">
        <f>"190200000"</f>
        <v>190200000</v>
      </c>
      <c r="F356" t="s">
        <v>283</v>
      </c>
      <c r="G356" t="s">
        <v>284</v>
      </c>
      <c r="H356" t="s">
        <v>285</v>
      </c>
      <c r="I356">
        <v>1</v>
      </c>
      <c r="J356" t="s">
        <v>25</v>
      </c>
      <c r="K356" s="1">
        <v>4219910</v>
      </c>
      <c r="L356" s="1">
        <v>4569598.82</v>
      </c>
      <c r="M356" s="1">
        <v>349688.82</v>
      </c>
      <c r="N356" s="1">
        <v>4569593.33</v>
      </c>
      <c r="O356">
        <v>5.49</v>
      </c>
      <c r="P356" s="1">
        <v>4569593.33</v>
      </c>
      <c r="Q356">
        <v>0</v>
      </c>
      <c r="R356" s="1">
        <v>4569593.33</v>
      </c>
      <c r="S356">
        <v>0</v>
      </c>
    </row>
    <row r="357" spans="1:19" x14ac:dyDescent="0.25">
      <c r="A357" s="3">
        <v>1001</v>
      </c>
      <c r="B357" s="4" t="s">
        <v>21</v>
      </c>
      <c r="C357" s="4" t="str">
        <f t="shared" si="27"/>
        <v>19</v>
      </c>
      <c r="D357" t="s">
        <v>248</v>
      </c>
      <c r="E357" s="3" t="str">
        <f>"190200000"</f>
        <v>190200000</v>
      </c>
      <c r="F357" t="s">
        <v>283</v>
      </c>
      <c r="G357" t="s">
        <v>284</v>
      </c>
      <c r="H357" t="s">
        <v>285</v>
      </c>
      <c r="I357">
        <v>2</v>
      </c>
      <c r="J357" t="s">
        <v>26</v>
      </c>
      <c r="K357" s="1">
        <v>230000</v>
      </c>
      <c r="L357" s="1">
        <v>218202.22</v>
      </c>
      <c r="M357" s="1">
        <v>-11797.78</v>
      </c>
      <c r="N357" s="1">
        <v>218195.14</v>
      </c>
      <c r="O357">
        <v>7.08</v>
      </c>
      <c r="P357" s="1">
        <v>218195.14</v>
      </c>
      <c r="Q357">
        <v>0</v>
      </c>
      <c r="R357" s="1">
        <v>218195.14</v>
      </c>
      <c r="S357">
        <v>0</v>
      </c>
    </row>
    <row r="358" spans="1:19" x14ac:dyDescent="0.25">
      <c r="A358" s="3">
        <v>1001</v>
      </c>
      <c r="B358" s="4" t="s">
        <v>21</v>
      </c>
      <c r="C358" s="4" t="str">
        <f t="shared" si="27"/>
        <v>19</v>
      </c>
      <c r="D358" t="s">
        <v>248</v>
      </c>
      <c r="E358" s="3" t="str">
        <f>"190200000"</f>
        <v>190200000</v>
      </c>
      <c r="F358" t="s">
        <v>283</v>
      </c>
      <c r="G358" t="s">
        <v>284</v>
      </c>
      <c r="H358" t="s">
        <v>285</v>
      </c>
      <c r="I358">
        <v>4</v>
      </c>
      <c r="J358" t="s">
        <v>36</v>
      </c>
      <c r="K358" s="1">
        <v>4500000</v>
      </c>
      <c r="L358" s="1">
        <v>9000000</v>
      </c>
      <c r="M358" s="1">
        <v>4500000</v>
      </c>
      <c r="N358" s="1">
        <v>4500000</v>
      </c>
      <c r="O358" s="1">
        <v>4500000</v>
      </c>
      <c r="P358" s="1">
        <v>4500000</v>
      </c>
      <c r="Q358">
        <v>0</v>
      </c>
      <c r="R358" s="1">
        <v>4500000</v>
      </c>
      <c r="S358">
        <v>0</v>
      </c>
    </row>
    <row r="359" spans="1:19" x14ac:dyDescent="0.25">
      <c r="A359" s="3">
        <v>1001</v>
      </c>
      <c r="B359" s="4" t="s">
        <v>21</v>
      </c>
      <c r="C359" s="4" t="str">
        <f t="shared" ref="C359:C375" si="30">"20"</f>
        <v>20</v>
      </c>
      <c r="D359" t="s">
        <v>286</v>
      </c>
      <c r="E359" s="3" t="str">
        <f>"200010000"</f>
        <v>200010000</v>
      </c>
      <c r="F359" t="s">
        <v>108</v>
      </c>
      <c r="G359" t="s">
        <v>109</v>
      </c>
      <c r="H359" t="s">
        <v>110</v>
      </c>
      <c r="I359">
        <v>1</v>
      </c>
      <c r="J359" t="s">
        <v>25</v>
      </c>
      <c r="K359" s="1">
        <v>12725971</v>
      </c>
      <c r="L359" s="1">
        <v>12218943.27</v>
      </c>
      <c r="M359" s="1">
        <v>-507027.73</v>
      </c>
      <c r="N359" s="1">
        <v>12218931.23</v>
      </c>
      <c r="O359">
        <v>12.04</v>
      </c>
      <c r="P359" s="1">
        <v>12218931.23</v>
      </c>
      <c r="Q359">
        <v>0</v>
      </c>
      <c r="R359" s="1">
        <v>12218931.23</v>
      </c>
      <c r="S359">
        <v>0</v>
      </c>
    </row>
    <row r="360" spans="1:19" x14ac:dyDescent="0.25">
      <c r="A360" s="3">
        <v>1001</v>
      </c>
      <c r="B360" s="4" t="s">
        <v>21</v>
      </c>
      <c r="C360" s="4" t="str">
        <f t="shared" si="30"/>
        <v>20</v>
      </c>
      <c r="D360" t="s">
        <v>286</v>
      </c>
      <c r="E360" s="3" t="str">
        <f>"200010000"</f>
        <v>200010000</v>
      </c>
      <c r="F360" t="s">
        <v>108</v>
      </c>
      <c r="G360" t="s">
        <v>109</v>
      </c>
      <c r="H360" t="s">
        <v>110</v>
      </c>
      <c r="I360">
        <v>2</v>
      </c>
      <c r="J360" t="s">
        <v>26</v>
      </c>
      <c r="K360" s="1">
        <v>20305066</v>
      </c>
      <c r="L360" s="1">
        <v>21334062.75</v>
      </c>
      <c r="M360" s="1">
        <v>1028996.75</v>
      </c>
      <c r="N360" s="1">
        <v>20358002.16</v>
      </c>
      <c r="O360" s="1">
        <v>976060.59</v>
      </c>
      <c r="P360" s="1">
        <v>20358002.16</v>
      </c>
      <c r="Q360">
        <v>0</v>
      </c>
      <c r="R360" s="1">
        <v>19791604.48</v>
      </c>
      <c r="S360" s="1">
        <v>566397.68000000005</v>
      </c>
    </row>
    <row r="361" spans="1:19" x14ac:dyDescent="0.25">
      <c r="A361" s="3">
        <v>1001</v>
      </c>
      <c r="B361" s="4" t="s">
        <v>21</v>
      </c>
      <c r="C361" s="4" t="str">
        <f t="shared" si="30"/>
        <v>20</v>
      </c>
      <c r="D361" t="s">
        <v>286</v>
      </c>
      <c r="E361" s="3" t="str">
        <f>"200010000"</f>
        <v>200010000</v>
      </c>
      <c r="F361" t="s">
        <v>108</v>
      </c>
      <c r="G361" t="s">
        <v>109</v>
      </c>
      <c r="H361" t="s">
        <v>110</v>
      </c>
      <c r="I361">
        <v>6</v>
      </c>
      <c r="J361" t="s">
        <v>32</v>
      </c>
      <c r="K361" s="1">
        <v>137400</v>
      </c>
      <c r="L361" s="1">
        <v>337206.05</v>
      </c>
      <c r="M361" s="1">
        <v>199806.05</v>
      </c>
      <c r="N361" s="1">
        <v>325995.78000000003</v>
      </c>
      <c r="O361" s="1">
        <v>11210.27</v>
      </c>
      <c r="P361" s="1">
        <v>325995.78000000003</v>
      </c>
      <c r="Q361">
        <v>0</v>
      </c>
      <c r="R361" s="1">
        <v>325995.78000000003</v>
      </c>
      <c r="S361">
        <v>0</v>
      </c>
    </row>
    <row r="362" spans="1:19" x14ac:dyDescent="0.25">
      <c r="A362" s="3">
        <v>1001</v>
      </c>
      <c r="B362" s="4" t="s">
        <v>21</v>
      </c>
      <c r="C362" s="4" t="str">
        <f t="shared" si="30"/>
        <v>20</v>
      </c>
      <c r="D362" t="s">
        <v>286</v>
      </c>
      <c r="E362" s="3" t="str">
        <f>"200010000"</f>
        <v>200010000</v>
      </c>
      <c r="F362" t="s">
        <v>108</v>
      </c>
      <c r="G362" t="s">
        <v>109</v>
      </c>
      <c r="H362" t="s">
        <v>110</v>
      </c>
      <c r="I362">
        <v>8</v>
      </c>
      <c r="J362" t="s">
        <v>27</v>
      </c>
      <c r="K362" s="1">
        <v>183652</v>
      </c>
      <c r="L362" s="1">
        <v>48300</v>
      </c>
      <c r="M362" s="1">
        <v>-135352</v>
      </c>
      <c r="N362" s="1">
        <v>48300</v>
      </c>
      <c r="O362">
        <v>0</v>
      </c>
      <c r="P362" s="1">
        <v>48300</v>
      </c>
      <c r="Q362">
        <v>0</v>
      </c>
      <c r="R362" s="1">
        <v>48300</v>
      </c>
      <c r="S362">
        <v>0</v>
      </c>
    </row>
    <row r="363" spans="1:19" x14ac:dyDescent="0.25">
      <c r="A363" s="3">
        <v>1001</v>
      </c>
      <c r="B363" s="4" t="s">
        <v>21</v>
      </c>
      <c r="C363" s="4" t="str">
        <f t="shared" si="30"/>
        <v>20</v>
      </c>
      <c r="D363" t="s">
        <v>286</v>
      </c>
      <c r="E363" s="3" t="str">
        <f>"200150000"</f>
        <v>200150000</v>
      </c>
      <c r="F363" t="s">
        <v>287</v>
      </c>
      <c r="G363" t="s">
        <v>288</v>
      </c>
      <c r="H363" t="s">
        <v>289</v>
      </c>
      <c r="I363">
        <v>1</v>
      </c>
      <c r="J363" t="s">
        <v>25</v>
      </c>
      <c r="K363" s="1">
        <v>54312014</v>
      </c>
      <c r="L363" s="1">
        <v>45101986.039999999</v>
      </c>
      <c r="M363" s="1">
        <v>-9210027.9600000009</v>
      </c>
      <c r="N363" s="1">
        <v>45101978.990000002</v>
      </c>
      <c r="O363">
        <v>7.05</v>
      </c>
      <c r="P363" s="1">
        <v>45101978.990000002</v>
      </c>
      <c r="Q363">
        <v>0</v>
      </c>
      <c r="R363" s="1">
        <v>45101978.990000002</v>
      </c>
      <c r="S363">
        <v>0</v>
      </c>
    </row>
    <row r="364" spans="1:19" x14ac:dyDescent="0.25">
      <c r="A364" s="3">
        <v>1001</v>
      </c>
      <c r="B364" s="4" t="s">
        <v>21</v>
      </c>
      <c r="C364" s="4" t="str">
        <f t="shared" si="30"/>
        <v>20</v>
      </c>
      <c r="D364" t="s">
        <v>286</v>
      </c>
      <c r="E364" s="3" t="str">
        <f>"200150000"</f>
        <v>200150000</v>
      </c>
      <c r="F364" t="s">
        <v>287</v>
      </c>
      <c r="G364" t="s">
        <v>288</v>
      </c>
      <c r="H364" t="s">
        <v>289</v>
      </c>
      <c r="I364">
        <v>2</v>
      </c>
      <c r="J364" t="s">
        <v>26</v>
      </c>
      <c r="K364" s="1">
        <v>6808141</v>
      </c>
      <c r="L364" s="1">
        <v>8665280.4900000002</v>
      </c>
      <c r="M364" s="1">
        <v>1857139.49</v>
      </c>
      <c r="N364" s="1">
        <v>6923044.3399999999</v>
      </c>
      <c r="O364" s="1">
        <v>1742236.15</v>
      </c>
      <c r="P364" s="1">
        <v>6923044.3399999999</v>
      </c>
      <c r="Q364">
        <v>0</v>
      </c>
      <c r="R364" s="1">
        <v>6642025.4699999997</v>
      </c>
      <c r="S364" s="1">
        <v>281018.87</v>
      </c>
    </row>
    <row r="365" spans="1:19" x14ac:dyDescent="0.25">
      <c r="A365" s="3">
        <v>1001</v>
      </c>
      <c r="B365" s="4" t="s">
        <v>21</v>
      </c>
      <c r="C365" s="4" t="str">
        <f t="shared" si="30"/>
        <v>20</v>
      </c>
      <c r="D365" t="s">
        <v>286</v>
      </c>
      <c r="E365" s="3" t="str">
        <f>"200150000"</f>
        <v>200150000</v>
      </c>
      <c r="F365" t="s">
        <v>287</v>
      </c>
      <c r="G365" t="s">
        <v>288</v>
      </c>
      <c r="H365" t="s">
        <v>289</v>
      </c>
      <c r="I365">
        <v>4</v>
      </c>
      <c r="J365" t="s">
        <v>36</v>
      </c>
      <c r="K365" s="1">
        <v>251381920</v>
      </c>
      <c r="L365" s="1">
        <v>340496373.97000003</v>
      </c>
      <c r="M365" s="1">
        <v>89114453.969999999</v>
      </c>
      <c r="N365" s="1">
        <v>338481135.01999998</v>
      </c>
      <c r="O365" s="1">
        <v>2015238.95</v>
      </c>
      <c r="P365" s="1">
        <v>331106395.57999998</v>
      </c>
      <c r="Q365" s="1">
        <v>7374739.4400000004</v>
      </c>
      <c r="R365" s="1">
        <v>271290157.47000003</v>
      </c>
      <c r="S365" s="1">
        <v>59816238.109999999</v>
      </c>
    </row>
    <row r="366" spans="1:19" x14ac:dyDescent="0.25">
      <c r="A366" s="3">
        <v>1001</v>
      </c>
      <c r="B366" s="4" t="s">
        <v>21</v>
      </c>
      <c r="C366" s="4" t="str">
        <f t="shared" si="30"/>
        <v>20</v>
      </c>
      <c r="D366" t="s">
        <v>286</v>
      </c>
      <c r="E366" s="3" t="str">
        <f>"200150000"</f>
        <v>200150000</v>
      </c>
      <c r="F366" t="s">
        <v>287</v>
      </c>
      <c r="G366" t="s">
        <v>288</v>
      </c>
      <c r="H366" t="s">
        <v>289</v>
      </c>
      <c r="I366">
        <v>6</v>
      </c>
      <c r="J366" t="s">
        <v>32</v>
      </c>
      <c r="K366" s="1">
        <v>8214236</v>
      </c>
      <c r="L366" s="1">
        <v>5500960.9800000004</v>
      </c>
      <c r="M366" s="1">
        <v>-2713275.02</v>
      </c>
      <c r="N366" s="1">
        <v>3203480.26</v>
      </c>
      <c r="O366" s="1">
        <v>2297480.7200000002</v>
      </c>
      <c r="P366" s="1">
        <v>3203480.26</v>
      </c>
      <c r="Q366">
        <v>0</v>
      </c>
      <c r="R366" s="1">
        <v>3053997.29</v>
      </c>
      <c r="S366" s="1">
        <v>149482.97</v>
      </c>
    </row>
    <row r="367" spans="1:19" x14ac:dyDescent="0.25">
      <c r="A367" s="3">
        <v>1001</v>
      </c>
      <c r="B367" s="4" t="s">
        <v>21</v>
      </c>
      <c r="C367" s="4" t="str">
        <f t="shared" si="30"/>
        <v>20</v>
      </c>
      <c r="D367" t="s">
        <v>286</v>
      </c>
      <c r="E367" s="3" t="str">
        <f>"200150000"</f>
        <v>200150000</v>
      </c>
      <c r="F367" t="s">
        <v>287</v>
      </c>
      <c r="G367" t="s">
        <v>288</v>
      </c>
      <c r="H367" t="s">
        <v>289</v>
      </c>
      <c r="I367">
        <v>7</v>
      </c>
      <c r="J367" t="s">
        <v>40</v>
      </c>
      <c r="K367" s="1">
        <v>500000</v>
      </c>
      <c r="L367" s="1">
        <v>515312.64000000001</v>
      </c>
      <c r="M367" s="1">
        <v>15312.64</v>
      </c>
      <c r="N367" s="1">
        <v>300312.64</v>
      </c>
      <c r="O367" s="1">
        <v>215000</v>
      </c>
      <c r="P367" s="1">
        <v>193112.44</v>
      </c>
      <c r="Q367" s="1">
        <v>107200.2</v>
      </c>
      <c r="R367" s="1">
        <v>193112.44</v>
      </c>
      <c r="S367">
        <v>0</v>
      </c>
    </row>
    <row r="368" spans="1:19" x14ac:dyDescent="0.25">
      <c r="A368" s="3">
        <v>1001</v>
      </c>
      <c r="B368" s="4" t="s">
        <v>21</v>
      </c>
      <c r="C368" s="4" t="str">
        <f t="shared" si="30"/>
        <v>20</v>
      </c>
      <c r="D368" t="s">
        <v>286</v>
      </c>
      <c r="E368" s="3" t="str">
        <f>"200160000"</f>
        <v>200160000</v>
      </c>
      <c r="F368" t="s">
        <v>290</v>
      </c>
      <c r="G368" t="s">
        <v>291</v>
      </c>
      <c r="H368" t="s">
        <v>292</v>
      </c>
      <c r="I368">
        <v>1</v>
      </c>
      <c r="J368" t="s">
        <v>25</v>
      </c>
      <c r="K368" s="1">
        <v>7952560</v>
      </c>
      <c r="L368" s="1">
        <v>7665901.3700000001</v>
      </c>
      <c r="M368" s="1">
        <v>-286658.63</v>
      </c>
      <c r="N368" s="1">
        <v>7665896.0499999998</v>
      </c>
      <c r="O368">
        <v>5.32</v>
      </c>
      <c r="P368" s="1">
        <v>7665896.0499999998</v>
      </c>
      <c r="Q368">
        <v>0</v>
      </c>
      <c r="R368" s="1">
        <v>7665896.0499999998</v>
      </c>
      <c r="S368">
        <v>0</v>
      </c>
    </row>
    <row r="369" spans="1:19" x14ac:dyDescent="0.25">
      <c r="A369" s="3">
        <v>1001</v>
      </c>
      <c r="B369" s="4" t="s">
        <v>21</v>
      </c>
      <c r="C369" s="4" t="str">
        <f t="shared" si="30"/>
        <v>20</v>
      </c>
      <c r="D369" t="s">
        <v>286</v>
      </c>
      <c r="E369" s="3" t="str">
        <f>"200160000"</f>
        <v>200160000</v>
      </c>
      <c r="F369" t="s">
        <v>290</v>
      </c>
      <c r="G369" t="s">
        <v>291</v>
      </c>
      <c r="H369" t="s">
        <v>292</v>
      </c>
      <c r="I369">
        <v>2</v>
      </c>
      <c r="J369" t="s">
        <v>26</v>
      </c>
      <c r="K369" s="1">
        <v>407262</v>
      </c>
      <c r="L369" s="1">
        <v>253305.63</v>
      </c>
      <c r="M369" s="1">
        <v>-153956.37</v>
      </c>
      <c r="N369" s="1">
        <v>247138.98</v>
      </c>
      <c r="O369" s="1">
        <v>6166.65</v>
      </c>
      <c r="P369" s="1">
        <v>247138.98</v>
      </c>
      <c r="Q369">
        <v>0</v>
      </c>
      <c r="R369" s="1">
        <v>247138.94</v>
      </c>
      <c r="S369">
        <v>0.04</v>
      </c>
    </row>
    <row r="370" spans="1:19" x14ac:dyDescent="0.25">
      <c r="A370" s="3">
        <v>1001</v>
      </c>
      <c r="B370" s="4" t="s">
        <v>21</v>
      </c>
      <c r="C370" s="4" t="str">
        <f t="shared" si="30"/>
        <v>20</v>
      </c>
      <c r="D370" t="s">
        <v>286</v>
      </c>
      <c r="E370" s="3" t="str">
        <f>"200160000"</f>
        <v>200160000</v>
      </c>
      <c r="F370" t="s">
        <v>290</v>
      </c>
      <c r="G370" t="s">
        <v>291</v>
      </c>
      <c r="H370" t="s">
        <v>292</v>
      </c>
      <c r="I370">
        <v>4</v>
      </c>
      <c r="J370" t="s">
        <v>36</v>
      </c>
      <c r="K370" s="1">
        <v>778000</v>
      </c>
      <c r="L370" s="1">
        <v>735560</v>
      </c>
      <c r="M370" s="1">
        <v>-42440</v>
      </c>
      <c r="N370" s="1">
        <v>735560</v>
      </c>
      <c r="O370">
        <v>0</v>
      </c>
      <c r="P370" s="1">
        <v>735560</v>
      </c>
      <c r="Q370">
        <v>0</v>
      </c>
      <c r="R370" s="1">
        <v>735560</v>
      </c>
      <c r="S370">
        <v>0</v>
      </c>
    </row>
    <row r="371" spans="1:19" x14ac:dyDescent="0.25">
      <c r="A371" s="3">
        <v>1001</v>
      </c>
      <c r="B371" s="4" t="s">
        <v>21</v>
      </c>
      <c r="C371" s="4" t="str">
        <f t="shared" si="30"/>
        <v>20</v>
      </c>
      <c r="D371" t="s">
        <v>286</v>
      </c>
      <c r="E371" s="3" t="str">
        <f>"200160000"</f>
        <v>200160000</v>
      </c>
      <c r="F371" t="s">
        <v>290</v>
      </c>
      <c r="G371" t="s">
        <v>291</v>
      </c>
      <c r="H371" t="s">
        <v>292</v>
      </c>
      <c r="I371">
        <v>6</v>
      </c>
      <c r="J371" t="s">
        <v>32</v>
      </c>
      <c r="K371" s="1">
        <v>50000</v>
      </c>
      <c r="L371" s="1">
        <v>69040.179999999993</v>
      </c>
      <c r="M371" s="1">
        <v>19040.18</v>
      </c>
      <c r="N371" s="1">
        <v>69040.179999999993</v>
      </c>
      <c r="O371">
        <v>0</v>
      </c>
      <c r="P371" s="1">
        <v>69040.179999999993</v>
      </c>
      <c r="Q371">
        <v>0</v>
      </c>
      <c r="R371" s="1">
        <v>69040.17</v>
      </c>
      <c r="S371">
        <v>0.01</v>
      </c>
    </row>
    <row r="372" spans="1:19" x14ac:dyDescent="0.25">
      <c r="A372" s="3">
        <v>1001</v>
      </c>
      <c r="B372" s="4" t="s">
        <v>21</v>
      </c>
      <c r="C372" s="4" t="str">
        <f t="shared" si="30"/>
        <v>20</v>
      </c>
      <c r="D372" t="s">
        <v>286</v>
      </c>
      <c r="E372" s="3" t="str">
        <f>"200170000"</f>
        <v>200170000</v>
      </c>
      <c r="F372" t="s">
        <v>293</v>
      </c>
      <c r="G372" t="s">
        <v>294</v>
      </c>
      <c r="H372" t="s">
        <v>295</v>
      </c>
      <c r="I372">
        <v>1</v>
      </c>
      <c r="J372" t="s">
        <v>25</v>
      </c>
      <c r="K372" s="1">
        <v>20594799</v>
      </c>
      <c r="L372" s="1">
        <v>18212963.870000001</v>
      </c>
      <c r="M372" s="1">
        <v>-2381835.13</v>
      </c>
      <c r="N372" s="1">
        <v>18212958.800000001</v>
      </c>
      <c r="O372">
        <v>5.07</v>
      </c>
      <c r="P372" s="1">
        <v>18212958.800000001</v>
      </c>
      <c r="Q372">
        <v>0</v>
      </c>
      <c r="R372" s="1">
        <v>18212958.800000001</v>
      </c>
      <c r="S372">
        <v>0</v>
      </c>
    </row>
    <row r="373" spans="1:19" x14ac:dyDescent="0.25">
      <c r="A373" s="3">
        <v>1001</v>
      </c>
      <c r="B373" s="4" t="s">
        <v>21</v>
      </c>
      <c r="C373" s="4" t="str">
        <f t="shared" si="30"/>
        <v>20</v>
      </c>
      <c r="D373" t="s">
        <v>286</v>
      </c>
      <c r="E373" s="3" t="str">
        <f>"200170000"</f>
        <v>200170000</v>
      </c>
      <c r="F373" t="s">
        <v>293</v>
      </c>
      <c r="G373" t="s">
        <v>294</v>
      </c>
      <c r="H373" t="s">
        <v>295</v>
      </c>
      <c r="I373">
        <v>2</v>
      </c>
      <c r="J373" t="s">
        <v>26</v>
      </c>
      <c r="K373" s="1">
        <v>43689725</v>
      </c>
      <c r="L373" s="1">
        <v>49727143.710000001</v>
      </c>
      <c r="M373" s="1">
        <v>6037418.71</v>
      </c>
      <c r="N373" s="1">
        <v>20890969.48</v>
      </c>
      <c r="O373" s="1">
        <v>28836174.23</v>
      </c>
      <c r="P373" s="1">
        <v>20890969.48</v>
      </c>
      <c r="Q373">
        <v>0</v>
      </c>
      <c r="R373" s="1">
        <v>15702860.060000001</v>
      </c>
      <c r="S373" s="1">
        <v>5188109.42</v>
      </c>
    </row>
    <row r="374" spans="1:19" x14ac:dyDescent="0.25">
      <c r="A374" s="3">
        <v>1001</v>
      </c>
      <c r="B374" s="4" t="s">
        <v>21</v>
      </c>
      <c r="C374" s="4" t="str">
        <f t="shared" si="30"/>
        <v>20</v>
      </c>
      <c r="D374" t="s">
        <v>286</v>
      </c>
      <c r="E374" s="3" t="str">
        <f>"200170000"</f>
        <v>200170000</v>
      </c>
      <c r="F374" t="s">
        <v>293</v>
      </c>
      <c r="G374" t="s">
        <v>294</v>
      </c>
      <c r="H374" t="s">
        <v>295</v>
      </c>
      <c r="I374">
        <v>4</v>
      </c>
      <c r="J374" t="s">
        <v>36</v>
      </c>
      <c r="K374" s="1">
        <v>214923929</v>
      </c>
      <c r="L374" s="1">
        <v>511679901.38999999</v>
      </c>
      <c r="M374" s="1">
        <v>296755972.38999999</v>
      </c>
      <c r="N374" s="1">
        <v>432900768.82999998</v>
      </c>
      <c r="O374" s="1">
        <v>78779132.560000002</v>
      </c>
      <c r="P374" s="1">
        <v>418622174.44</v>
      </c>
      <c r="Q374" s="1">
        <v>14278594.390000001</v>
      </c>
      <c r="R374" s="1">
        <v>183519792.12</v>
      </c>
      <c r="S374" s="1">
        <v>235102382.31999999</v>
      </c>
    </row>
    <row r="375" spans="1:19" x14ac:dyDescent="0.25">
      <c r="A375" s="3">
        <v>1001</v>
      </c>
      <c r="B375" s="4" t="s">
        <v>21</v>
      </c>
      <c r="C375" s="4" t="str">
        <f t="shared" si="30"/>
        <v>20</v>
      </c>
      <c r="D375" t="s">
        <v>286</v>
      </c>
      <c r="E375" s="3" t="str">
        <f>"200170000"</f>
        <v>200170000</v>
      </c>
      <c r="F375" t="s">
        <v>293</v>
      </c>
      <c r="G375" t="s">
        <v>294</v>
      </c>
      <c r="H375" t="s">
        <v>295</v>
      </c>
      <c r="I375">
        <v>6</v>
      </c>
      <c r="J375" t="s">
        <v>32</v>
      </c>
      <c r="K375" s="1">
        <v>3115900</v>
      </c>
      <c r="L375" s="1">
        <v>2885304.25</v>
      </c>
      <c r="M375" s="1">
        <v>-230595.75</v>
      </c>
      <c r="N375" s="1">
        <v>1843306.71</v>
      </c>
      <c r="O375" s="1">
        <v>1041997.54</v>
      </c>
      <c r="P375" s="1">
        <v>1843306.71</v>
      </c>
      <c r="Q375">
        <v>0</v>
      </c>
      <c r="R375" s="1">
        <v>1843306.12</v>
      </c>
      <c r="S375">
        <v>0.59</v>
      </c>
    </row>
    <row r="376" spans="1:19" x14ac:dyDescent="0.25">
      <c r="A376" s="3">
        <v>1001</v>
      </c>
      <c r="B376" s="4" t="s">
        <v>21</v>
      </c>
      <c r="C376" s="4" t="str">
        <f>"25"</f>
        <v>25</v>
      </c>
      <c r="D376" t="s">
        <v>296</v>
      </c>
      <c r="E376" s="3" t="str">
        <f>"250010000"</f>
        <v>250010000</v>
      </c>
      <c r="F376" t="s">
        <v>296</v>
      </c>
      <c r="G376" t="s">
        <v>297</v>
      </c>
      <c r="H376" t="s">
        <v>298</v>
      </c>
      <c r="I376">
        <v>3</v>
      </c>
      <c r="J376" t="s">
        <v>39</v>
      </c>
      <c r="K376" s="1">
        <v>762632414</v>
      </c>
      <c r="L376" s="1">
        <v>722070813.59000003</v>
      </c>
      <c r="M376" s="1">
        <v>-40561600.409999996</v>
      </c>
      <c r="N376" s="1">
        <v>722007118.86000001</v>
      </c>
      <c r="O376" s="1">
        <v>63694.73</v>
      </c>
      <c r="P376" s="1">
        <v>722007118.86000001</v>
      </c>
      <c r="Q376">
        <v>0</v>
      </c>
      <c r="R376" s="1">
        <v>722007118.86000001</v>
      </c>
      <c r="S376">
        <v>0</v>
      </c>
    </row>
    <row r="377" spans="1:19" x14ac:dyDescent="0.25">
      <c r="A377" s="3">
        <v>1001</v>
      </c>
      <c r="B377" s="4" t="s">
        <v>21</v>
      </c>
      <c r="C377" s="4" t="str">
        <f>"25"</f>
        <v>25</v>
      </c>
      <c r="D377" t="s">
        <v>296</v>
      </c>
      <c r="E377" s="3" t="str">
        <f>"250010000"</f>
        <v>250010000</v>
      </c>
      <c r="F377" t="s">
        <v>296</v>
      </c>
      <c r="G377" t="s">
        <v>297</v>
      </c>
      <c r="H377" t="s">
        <v>298</v>
      </c>
      <c r="I377">
        <v>9</v>
      </c>
      <c r="J377" t="s">
        <v>299</v>
      </c>
      <c r="K377" s="1">
        <v>2692150009</v>
      </c>
      <c r="L377" s="1">
        <v>2692711609.4099998</v>
      </c>
      <c r="M377" s="1">
        <v>561600.41</v>
      </c>
      <c r="N377" s="1">
        <v>2692711609.4099998</v>
      </c>
      <c r="O377">
        <v>0</v>
      </c>
      <c r="P377" s="1">
        <v>2692711609.4099998</v>
      </c>
      <c r="Q377">
        <v>0</v>
      </c>
      <c r="R377" s="1">
        <v>2692711609.4099998</v>
      </c>
      <c r="S377">
        <v>0</v>
      </c>
    </row>
    <row r="378" spans="1:19" x14ac:dyDescent="0.25">
      <c r="A378" s="3">
        <v>1001</v>
      </c>
      <c r="B378" s="4" t="s">
        <v>21</v>
      </c>
      <c r="C378" s="4" t="str">
        <f>"26"</f>
        <v>26</v>
      </c>
      <c r="D378" t="s">
        <v>300</v>
      </c>
      <c r="E378" s="3" t="str">
        <f>"260010000"</f>
        <v>260010000</v>
      </c>
      <c r="F378" t="s">
        <v>300</v>
      </c>
      <c r="G378" t="s">
        <v>301</v>
      </c>
      <c r="H378" t="s">
        <v>302</v>
      </c>
      <c r="I378">
        <v>1</v>
      </c>
      <c r="J378" t="s">
        <v>25</v>
      </c>
      <c r="K378" s="1">
        <v>75257420</v>
      </c>
      <c r="L378" s="1">
        <v>174815.11</v>
      </c>
      <c r="M378" s="1">
        <v>-75082604.890000001</v>
      </c>
      <c r="N378" s="1">
        <v>168728.54</v>
      </c>
      <c r="O378" s="1">
        <v>6086.57</v>
      </c>
      <c r="P378" s="1">
        <v>168728.54</v>
      </c>
      <c r="Q378">
        <v>0</v>
      </c>
      <c r="R378" s="1">
        <v>168728.54</v>
      </c>
      <c r="S378">
        <v>0</v>
      </c>
    </row>
    <row r="379" spans="1:19" x14ac:dyDescent="0.25">
      <c r="A379" s="3">
        <v>1001</v>
      </c>
      <c r="B379" s="4" t="s">
        <v>21</v>
      </c>
      <c r="C379" s="4" t="str">
        <f>"26"</f>
        <v>26</v>
      </c>
      <c r="D379" t="s">
        <v>300</v>
      </c>
      <c r="E379" s="3" t="str">
        <f>"260010000"</f>
        <v>260010000</v>
      </c>
      <c r="F379" t="s">
        <v>300</v>
      </c>
      <c r="G379" t="s">
        <v>301</v>
      </c>
      <c r="H379" t="s">
        <v>302</v>
      </c>
      <c r="I379">
        <v>2</v>
      </c>
      <c r="J379" t="s">
        <v>26</v>
      </c>
      <c r="K379" s="1">
        <v>1437776643</v>
      </c>
      <c r="L379">
        <v>0</v>
      </c>
      <c r="M379" s="1">
        <v>-1437776643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</row>
    <row r="380" spans="1:19" x14ac:dyDescent="0.25">
      <c r="A380" s="3">
        <v>1001</v>
      </c>
      <c r="B380" s="4" t="s">
        <v>21</v>
      </c>
      <c r="C380" s="4" t="str">
        <f>"26"</f>
        <v>26</v>
      </c>
      <c r="D380" t="s">
        <v>300</v>
      </c>
      <c r="E380" s="3" t="str">
        <f>"260010000"</f>
        <v>260010000</v>
      </c>
      <c r="F380" t="s">
        <v>300</v>
      </c>
      <c r="G380" t="s">
        <v>301</v>
      </c>
      <c r="H380" t="s">
        <v>302</v>
      </c>
      <c r="I380">
        <v>4</v>
      </c>
      <c r="J380" t="s">
        <v>36</v>
      </c>
      <c r="K380" s="1">
        <v>67324154</v>
      </c>
      <c r="L380" s="1">
        <v>73318154</v>
      </c>
      <c r="M380" s="1">
        <v>5994000</v>
      </c>
      <c r="N380" s="1">
        <v>73318154</v>
      </c>
      <c r="O380">
        <v>0</v>
      </c>
      <c r="P380" s="1">
        <v>73318154</v>
      </c>
      <c r="Q380">
        <v>0</v>
      </c>
      <c r="R380" s="1">
        <v>73318154</v>
      </c>
      <c r="S380">
        <v>0</v>
      </c>
    </row>
    <row r="381" spans="1:19" x14ac:dyDescent="0.25">
      <c r="A381" s="3">
        <v>1001</v>
      </c>
      <c r="B381" s="4" t="s">
        <v>21</v>
      </c>
      <c r="C381" s="4" t="str">
        <f>"30"</f>
        <v>30</v>
      </c>
      <c r="D381" t="s">
        <v>303</v>
      </c>
      <c r="E381" s="3" t="str">
        <f>"300010000"</f>
        <v>300010000</v>
      </c>
      <c r="F381" t="s">
        <v>303</v>
      </c>
      <c r="G381" t="s">
        <v>301</v>
      </c>
      <c r="H381" t="s">
        <v>302</v>
      </c>
      <c r="I381">
        <v>5</v>
      </c>
      <c r="J381" t="s">
        <v>303</v>
      </c>
      <c r="K381" s="1">
        <v>114219556</v>
      </c>
      <c r="L381">
        <v>0</v>
      </c>
      <c r="M381" s="1">
        <v>-114219556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</row>
    <row r="382" spans="1:19" x14ac:dyDescent="0.25">
      <c r="A382" s="3">
        <v>1004</v>
      </c>
      <c r="B382" s="4" t="s">
        <v>304</v>
      </c>
      <c r="C382" s="4" t="str">
        <f t="shared" ref="C382:C413" si="31">"19"</f>
        <v>19</v>
      </c>
      <c r="D382" t="s">
        <v>248</v>
      </c>
      <c r="E382" s="3" t="str">
        <f t="shared" ref="E382:E396" si="32">"191020000"</f>
        <v>191020000</v>
      </c>
      <c r="F382" t="s">
        <v>304</v>
      </c>
      <c r="G382" t="s">
        <v>305</v>
      </c>
      <c r="H382" t="s">
        <v>306</v>
      </c>
      <c r="I382">
        <v>1</v>
      </c>
      <c r="J382" t="s">
        <v>25</v>
      </c>
      <c r="K382" s="1">
        <v>6605735</v>
      </c>
      <c r="L382" s="1">
        <v>6731398.2000000002</v>
      </c>
      <c r="M382" s="1">
        <v>125663.2</v>
      </c>
      <c r="N382" s="1">
        <v>6731396.3499999996</v>
      </c>
      <c r="O382">
        <v>1.85</v>
      </c>
      <c r="P382" s="1">
        <v>6731396.3499999996</v>
      </c>
      <c r="Q382">
        <v>0</v>
      </c>
      <c r="R382" s="1">
        <v>6731396.3499999996</v>
      </c>
      <c r="S382">
        <v>0</v>
      </c>
    </row>
    <row r="383" spans="1:19" x14ac:dyDescent="0.25">
      <c r="A383" s="3">
        <v>1004</v>
      </c>
      <c r="B383" s="4" t="s">
        <v>304</v>
      </c>
      <c r="C383" s="4" t="str">
        <f t="shared" si="31"/>
        <v>19</v>
      </c>
      <c r="D383" t="s">
        <v>248</v>
      </c>
      <c r="E383" s="3" t="str">
        <f t="shared" si="32"/>
        <v>191020000</v>
      </c>
      <c r="F383" t="s">
        <v>304</v>
      </c>
      <c r="G383" t="s">
        <v>305</v>
      </c>
      <c r="H383" t="s">
        <v>306</v>
      </c>
      <c r="I383">
        <v>2</v>
      </c>
      <c r="J383" t="s">
        <v>26</v>
      </c>
      <c r="K383" s="1">
        <v>8414570</v>
      </c>
      <c r="L383" s="1">
        <v>7979738.1399999997</v>
      </c>
      <c r="M383" s="1">
        <v>-434831.86</v>
      </c>
      <c r="N383" s="1">
        <v>7705354.1600000001</v>
      </c>
      <c r="O383" s="1">
        <v>274383.98</v>
      </c>
      <c r="P383" s="1">
        <v>7687273.1699999999</v>
      </c>
      <c r="Q383" s="1">
        <v>18080.990000000002</v>
      </c>
      <c r="R383" s="1">
        <v>7148186.8499999996</v>
      </c>
      <c r="S383" s="1">
        <v>539086.31999999995</v>
      </c>
    </row>
    <row r="384" spans="1:19" x14ac:dyDescent="0.25">
      <c r="A384" s="3">
        <v>1004</v>
      </c>
      <c r="B384" s="4" t="s">
        <v>304</v>
      </c>
      <c r="C384" s="4" t="str">
        <f t="shared" si="31"/>
        <v>19</v>
      </c>
      <c r="D384" t="s">
        <v>248</v>
      </c>
      <c r="E384" s="3" t="str">
        <f t="shared" si="32"/>
        <v>191020000</v>
      </c>
      <c r="F384" t="s">
        <v>304</v>
      </c>
      <c r="G384" t="s">
        <v>307</v>
      </c>
      <c r="H384" t="s">
        <v>308</v>
      </c>
      <c r="I384">
        <v>1</v>
      </c>
      <c r="J384" t="s">
        <v>25</v>
      </c>
      <c r="K384" s="1">
        <v>1203493</v>
      </c>
      <c r="L384" s="1">
        <v>1347534.01</v>
      </c>
      <c r="M384" s="1">
        <v>144041.01</v>
      </c>
      <c r="N384" s="1">
        <v>1347532.87</v>
      </c>
      <c r="O384">
        <v>1.1399999999999999</v>
      </c>
      <c r="P384" s="1">
        <v>1347532.87</v>
      </c>
      <c r="Q384">
        <v>0</v>
      </c>
      <c r="R384" s="1">
        <v>1347532.87</v>
      </c>
      <c r="S384">
        <v>0</v>
      </c>
    </row>
    <row r="385" spans="1:19" x14ac:dyDescent="0.25">
      <c r="A385" s="3">
        <v>1004</v>
      </c>
      <c r="B385" s="4" t="s">
        <v>304</v>
      </c>
      <c r="C385" s="4" t="str">
        <f t="shared" si="31"/>
        <v>19</v>
      </c>
      <c r="D385" t="s">
        <v>248</v>
      </c>
      <c r="E385" s="3" t="str">
        <f t="shared" si="32"/>
        <v>191020000</v>
      </c>
      <c r="F385" t="s">
        <v>304</v>
      </c>
      <c r="G385" t="s">
        <v>307</v>
      </c>
      <c r="H385" t="s">
        <v>308</v>
      </c>
      <c r="I385">
        <v>2</v>
      </c>
      <c r="J385" t="s">
        <v>26</v>
      </c>
      <c r="K385" s="1">
        <v>1888654</v>
      </c>
      <c r="L385" s="1">
        <v>1898910</v>
      </c>
      <c r="M385" s="1">
        <v>10256</v>
      </c>
      <c r="N385" s="1">
        <v>1840735.26</v>
      </c>
      <c r="O385" s="1">
        <v>58174.74</v>
      </c>
      <c r="P385" s="1">
        <v>1837837.07</v>
      </c>
      <c r="Q385" s="1">
        <v>2898.19</v>
      </c>
      <c r="R385" s="1">
        <v>1439743.75</v>
      </c>
      <c r="S385" s="1">
        <v>398093.32</v>
      </c>
    </row>
    <row r="386" spans="1:19" x14ac:dyDescent="0.25">
      <c r="A386" s="3">
        <v>1004</v>
      </c>
      <c r="B386" s="4" t="s">
        <v>304</v>
      </c>
      <c r="C386" s="4" t="str">
        <f t="shared" si="31"/>
        <v>19</v>
      </c>
      <c r="D386" t="s">
        <v>248</v>
      </c>
      <c r="E386" s="3" t="str">
        <f t="shared" si="32"/>
        <v>191020000</v>
      </c>
      <c r="F386" t="s">
        <v>304</v>
      </c>
      <c r="G386" t="s">
        <v>309</v>
      </c>
      <c r="H386" t="s">
        <v>310</v>
      </c>
      <c r="I386">
        <v>1</v>
      </c>
      <c r="J386" t="s">
        <v>25</v>
      </c>
      <c r="K386" s="1">
        <v>52868978</v>
      </c>
      <c r="L386" s="1">
        <v>52778115.32</v>
      </c>
      <c r="M386" s="1">
        <v>-90862.68</v>
      </c>
      <c r="N386" s="1">
        <v>52758729.259999998</v>
      </c>
      <c r="O386" s="1">
        <v>19386.060000000001</v>
      </c>
      <c r="P386" s="1">
        <v>52758729.259999998</v>
      </c>
      <c r="Q386">
        <v>0</v>
      </c>
      <c r="R386" s="1">
        <v>52758729.259999998</v>
      </c>
      <c r="S386">
        <v>0</v>
      </c>
    </row>
    <row r="387" spans="1:19" x14ac:dyDescent="0.25">
      <c r="A387" s="3">
        <v>1004</v>
      </c>
      <c r="B387" s="4" t="s">
        <v>304</v>
      </c>
      <c r="C387" s="4" t="str">
        <f t="shared" si="31"/>
        <v>19</v>
      </c>
      <c r="D387" t="s">
        <v>248</v>
      </c>
      <c r="E387" s="3" t="str">
        <f t="shared" si="32"/>
        <v>191020000</v>
      </c>
      <c r="F387" t="s">
        <v>304</v>
      </c>
      <c r="G387" t="s">
        <v>309</v>
      </c>
      <c r="H387" t="s">
        <v>310</v>
      </c>
      <c r="I387">
        <v>2</v>
      </c>
      <c r="J387" t="s">
        <v>26</v>
      </c>
      <c r="K387" s="1">
        <v>10962345</v>
      </c>
      <c r="L387" s="1">
        <v>10977345</v>
      </c>
      <c r="M387" s="1">
        <v>15000</v>
      </c>
      <c r="N387" s="1">
        <v>10354400.67</v>
      </c>
      <c r="O387" s="1">
        <v>622944.32999999996</v>
      </c>
      <c r="P387" s="1">
        <v>10314697.23</v>
      </c>
      <c r="Q387" s="1">
        <v>39703.440000000002</v>
      </c>
      <c r="R387" s="1">
        <v>9677643.8499999996</v>
      </c>
      <c r="S387" s="1">
        <v>637053.38</v>
      </c>
    </row>
    <row r="388" spans="1:19" x14ac:dyDescent="0.25">
      <c r="A388" s="3">
        <v>1004</v>
      </c>
      <c r="B388" s="4" t="s">
        <v>304</v>
      </c>
      <c r="C388" s="4" t="str">
        <f t="shared" si="31"/>
        <v>19</v>
      </c>
      <c r="D388" t="s">
        <v>248</v>
      </c>
      <c r="E388" s="3" t="str">
        <f t="shared" si="32"/>
        <v>191020000</v>
      </c>
      <c r="F388" t="s">
        <v>304</v>
      </c>
      <c r="G388" t="s">
        <v>311</v>
      </c>
      <c r="H388" t="s">
        <v>312</v>
      </c>
      <c r="I388">
        <v>1</v>
      </c>
      <c r="J388" t="s">
        <v>25</v>
      </c>
      <c r="K388" s="1">
        <v>185860579</v>
      </c>
      <c r="L388" s="1">
        <v>203778290.33000001</v>
      </c>
      <c r="M388" s="1">
        <v>17917711.329999998</v>
      </c>
      <c r="N388" s="1">
        <v>203759133.46000001</v>
      </c>
      <c r="O388" s="1">
        <v>19156.87</v>
      </c>
      <c r="P388" s="1">
        <v>203759133.46000001</v>
      </c>
      <c r="Q388">
        <v>0</v>
      </c>
      <c r="R388" s="1">
        <v>203759133.46000001</v>
      </c>
      <c r="S388">
        <v>0</v>
      </c>
    </row>
    <row r="389" spans="1:19" x14ac:dyDescent="0.25">
      <c r="A389" s="3">
        <v>1004</v>
      </c>
      <c r="B389" s="4" t="s">
        <v>304</v>
      </c>
      <c r="C389" s="4" t="str">
        <f t="shared" si="31"/>
        <v>19</v>
      </c>
      <c r="D389" t="s">
        <v>248</v>
      </c>
      <c r="E389" s="3" t="str">
        <f t="shared" si="32"/>
        <v>191020000</v>
      </c>
      <c r="F389" t="s">
        <v>304</v>
      </c>
      <c r="G389" t="s">
        <v>311</v>
      </c>
      <c r="H389" t="s">
        <v>312</v>
      </c>
      <c r="I389">
        <v>2</v>
      </c>
      <c r="J389" t="s">
        <v>26</v>
      </c>
      <c r="K389" s="1">
        <v>6434515</v>
      </c>
      <c r="L389" s="1">
        <v>15894186.49</v>
      </c>
      <c r="M389" s="1">
        <v>9459671.4900000002</v>
      </c>
      <c r="N389" s="1">
        <v>15674126.619999999</v>
      </c>
      <c r="O389" s="1">
        <v>220059.87</v>
      </c>
      <c r="P389" s="1">
        <v>15574838.15</v>
      </c>
      <c r="Q389" s="1">
        <v>99288.47</v>
      </c>
      <c r="R389" s="1">
        <v>14040746.58</v>
      </c>
      <c r="S389" s="1">
        <v>1534091.57</v>
      </c>
    </row>
    <row r="390" spans="1:19" x14ac:dyDescent="0.25">
      <c r="A390" s="3">
        <v>1004</v>
      </c>
      <c r="B390" s="4" t="s">
        <v>304</v>
      </c>
      <c r="C390" s="4" t="str">
        <f t="shared" si="31"/>
        <v>19</v>
      </c>
      <c r="D390" t="s">
        <v>248</v>
      </c>
      <c r="E390" s="3" t="str">
        <f t="shared" si="32"/>
        <v>191020000</v>
      </c>
      <c r="F390" t="s">
        <v>304</v>
      </c>
      <c r="G390" t="s">
        <v>313</v>
      </c>
      <c r="H390" t="s">
        <v>314</v>
      </c>
      <c r="I390">
        <v>1</v>
      </c>
      <c r="J390" t="s">
        <v>25</v>
      </c>
      <c r="K390" s="1">
        <v>50873873</v>
      </c>
      <c r="L390" s="1">
        <v>54286816.07</v>
      </c>
      <c r="M390" s="1">
        <v>3412943.07</v>
      </c>
      <c r="N390" s="1">
        <v>54275285.079999998</v>
      </c>
      <c r="O390" s="1">
        <v>11530.99</v>
      </c>
      <c r="P390" s="1">
        <v>54275285.079999998</v>
      </c>
      <c r="Q390">
        <v>0</v>
      </c>
      <c r="R390" s="1">
        <v>54275285.079999998</v>
      </c>
      <c r="S390">
        <v>0</v>
      </c>
    </row>
    <row r="391" spans="1:19" x14ac:dyDescent="0.25">
      <c r="A391" s="3">
        <v>1004</v>
      </c>
      <c r="B391" s="4" t="s">
        <v>304</v>
      </c>
      <c r="C391" s="4" t="str">
        <f t="shared" si="31"/>
        <v>19</v>
      </c>
      <c r="D391" t="s">
        <v>248</v>
      </c>
      <c r="E391" s="3" t="str">
        <f t="shared" si="32"/>
        <v>191020000</v>
      </c>
      <c r="F391" t="s">
        <v>304</v>
      </c>
      <c r="G391" t="s">
        <v>313</v>
      </c>
      <c r="H391" t="s">
        <v>314</v>
      </c>
      <c r="I391">
        <v>2</v>
      </c>
      <c r="J391" t="s">
        <v>26</v>
      </c>
      <c r="K391" s="1">
        <v>894035</v>
      </c>
      <c r="L391" s="1">
        <v>2877137</v>
      </c>
      <c r="M391" s="1">
        <v>1983102</v>
      </c>
      <c r="N391" s="1">
        <v>2623722.69</v>
      </c>
      <c r="O391" s="1">
        <v>253414.31</v>
      </c>
      <c r="P391" s="1">
        <v>2588559.87</v>
      </c>
      <c r="Q391" s="1">
        <v>35162.82</v>
      </c>
      <c r="R391" s="1">
        <v>1900357.22</v>
      </c>
      <c r="S391" s="1">
        <v>688202.65</v>
      </c>
    </row>
    <row r="392" spans="1:19" x14ac:dyDescent="0.25">
      <c r="A392" s="3">
        <v>1004</v>
      </c>
      <c r="B392" s="4" t="s">
        <v>304</v>
      </c>
      <c r="C392" s="4" t="str">
        <f t="shared" si="31"/>
        <v>19</v>
      </c>
      <c r="D392" t="s">
        <v>248</v>
      </c>
      <c r="E392" s="3" t="str">
        <f t="shared" si="32"/>
        <v>191020000</v>
      </c>
      <c r="F392" t="s">
        <v>304</v>
      </c>
      <c r="G392" t="s">
        <v>315</v>
      </c>
      <c r="H392" t="s">
        <v>316</v>
      </c>
      <c r="I392">
        <v>1</v>
      </c>
      <c r="J392" t="s">
        <v>25</v>
      </c>
      <c r="K392" s="1">
        <v>44266886</v>
      </c>
      <c r="L392" s="1">
        <v>42399849.960000001</v>
      </c>
      <c r="M392" s="1">
        <v>-1867036.04</v>
      </c>
      <c r="N392" s="1">
        <v>42086680.700000003</v>
      </c>
      <c r="O392" s="1">
        <v>313169.26</v>
      </c>
      <c r="P392" s="1">
        <v>42086680.700000003</v>
      </c>
      <c r="Q392">
        <v>0</v>
      </c>
      <c r="R392" s="1">
        <v>41819222.590000004</v>
      </c>
      <c r="S392" s="1">
        <v>267458.11</v>
      </c>
    </row>
    <row r="393" spans="1:19" x14ac:dyDescent="0.25">
      <c r="A393" s="3">
        <v>1004</v>
      </c>
      <c r="B393" s="4" t="s">
        <v>304</v>
      </c>
      <c r="C393" s="4" t="str">
        <f t="shared" si="31"/>
        <v>19</v>
      </c>
      <c r="D393" t="s">
        <v>248</v>
      </c>
      <c r="E393" s="3" t="str">
        <f t="shared" si="32"/>
        <v>191020000</v>
      </c>
      <c r="F393" t="s">
        <v>304</v>
      </c>
      <c r="G393" t="s">
        <v>315</v>
      </c>
      <c r="H393" t="s">
        <v>316</v>
      </c>
      <c r="I393">
        <v>2</v>
      </c>
      <c r="J393" t="s">
        <v>26</v>
      </c>
      <c r="K393" s="1">
        <v>3877345</v>
      </c>
      <c r="L393" s="1">
        <v>4123380.66</v>
      </c>
      <c r="M393" s="1">
        <v>246035.66</v>
      </c>
      <c r="N393" s="1">
        <v>3773780.06</v>
      </c>
      <c r="O393" s="1">
        <v>349600.6</v>
      </c>
      <c r="P393" s="1">
        <v>3769873.08</v>
      </c>
      <c r="Q393" s="1">
        <v>3906.98</v>
      </c>
      <c r="R393" s="1">
        <v>3570769.47</v>
      </c>
      <c r="S393" s="1">
        <v>199103.61</v>
      </c>
    </row>
    <row r="394" spans="1:19" x14ac:dyDescent="0.25">
      <c r="A394" s="3">
        <v>1004</v>
      </c>
      <c r="B394" s="4" t="s">
        <v>304</v>
      </c>
      <c r="C394" s="4" t="str">
        <f t="shared" si="31"/>
        <v>19</v>
      </c>
      <c r="D394" t="s">
        <v>248</v>
      </c>
      <c r="E394" s="3" t="str">
        <f t="shared" si="32"/>
        <v>191020000</v>
      </c>
      <c r="F394" t="s">
        <v>304</v>
      </c>
      <c r="G394" t="s">
        <v>315</v>
      </c>
      <c r="H394" t="s">
        <v>316</v>
      </c>
      <c r="I394">
        <v>3</v>
      </c>
      <c r="J394" t="s">
        <v>39</v>
      </c>
      <c r="K394" s="1">
        <v>50000</v>
      </c>
      <c r="L394" s="1">
        <v>76999.070000000007</v>
      </c>
      <c r="M394" s="1">
        <v>26999.07</v>
      </c>
      <c r="N394" s="1">
        <v>54625.07</v>
      </c>
      <c r="O394" s="1">
        <v>22374</v>
      </c>
      <c r="P394" s="1">
        <v>54625.07</v>
      </c>
      <c r="Q394">
        <v>0</v>
      </c>
      <c r="R394" s="1">
        <v>54625.07</v>
      </c>
      <c r="S394">
        <v>0</v>
      </c>
    </row>
    <row r="395" spans="1:19" x14ac:dyDescent="0.25">
      <c r="A395" s="3">
        <v>1004</v>
      </c>
      <c r="B395" s="4" t="s">
        <v>304</v>
      </c>
      <c r="C395" s="4" t="str">
        <f t="shared" si="31"/>
        <v>19</v>
      </c>
      <c r="D395" t="s">
        <v>248</v>
      </c>
      <c r="E395" s="3" t="str">
        <f t="shared" si="32"/>
        <v>191020000</v>
      </c>
      <c r="F395" t="s">
        <v>304</v>
      </c>
      <c r="G395" t="s">
        <v>315</v>
      </c>
      <c r="H395" t="s">
        <v>316</v>
      </c>
      <c r="I395">
        <v>6</v>
      </c>
      <c r="J395" t="s">
        <v>32</v>
      </c>
      <c r="K395" s="1">
        <v>81515308</v>
      </c>
      <c r="L395" s="1">
        <v>80683970.109999999</v>
      </c>
      <c r="M395" s="1">
        <v>-831337.89</v>
      </c>
      <c r="N395" s="1">
        <v>23933018.190000001</v>
      </c>
      <c r="O395" s="1">
        <v>56750951.920000002</v>
      </c>
      <c r="P395" s="1">
        <v>22651450.09</v>
      </c>
      <c r="Q395" s="1">
        <v>1281568.1000000001</v>
      </c>
      <c r="R395" s="1">
        <v>20106843.129999999</v>
      </c>
      <c r="S395" s="1">
        <v>2544606.96</v>
      </c>
    </row>
    <row r="396" spans="1:19" x14ac:dyDescent="0.25">
      <c r="A396" s="3">
        <v>1004</v>
      </c>
      <c r="B396" s="4" t="s">
        <v>304</v>
      </c>
      <c r="C396" s="4" t="str">
        <f t="shared" si="31"/>
        <v>19</v>
      </c>
      <c r="D396" t="s">
        <v>248</v>
      </c>
      <c r="E396" s="3" t="str">
        <f t="shared" si="32"/>
        <v>191020000</v>
      </c>
      <c r="F396" t="s">
        <v>304</v>
      </c>
      <c r="G396" t="s">
        <v>315</v>
      </c>
      <c r="H396" t="s">
        <v>316</v>
      </c>
      <c r="I396">
        <v>8</v>
      </c>
      <c r="J396" t="s">
        <v>27</v>
      </c>
      <c r="K396" s="1">
        <v>914159</v>
      </c>
      <c r="L396" s="1">
        <v>164158.04999999999</v>
      </c>
      <c r="M396" s="1">
        <v>-750000.95</v>
      </c>
      <c r="N396" s="1">
        <v>131365.85</v>
      </c>
      <c r="O396" s="1">
        <v>32792.199999999997</v>
      </c>
      <c r="P396" s="1">
        <v>131365.85</v>
      </c>
      <c r="Q396">
        <v>0</v>
      </c>
      <c r="R396" s="1">
        <v>131365.85</v>
      </c>
      <c r="S396">
        <v>0</v>
      </c>
    </row>
    <row r="397" spans="1:19" x14ac:dyDescent="0.25">
      <c r="A397" s="3">
        <v>1004</v>
      </c>
      <c r="B397" s="4" t="s">
        <v>304</v>
      </c>
      <c r="C397" s="4" t="str">
        <f t="shared" si="31"/>
        <v>19</v>
      </c>
      <c r="D397" t="s">
        <v>248</v>
      </c>
      <c r="E397" s="3" t="str">
        <f>"19102CA01"</f>
        <v>19102CA01</v>
      </c>
      <c r="F397" t="s">
        <v>317</v>
      </c>
      <c r="G397" t="s">
        <v>313</v>
      </c>
      <c r="H397" t="s">
        <v>314</v>
      </c>
      <c r="I397">
        <v>2</v>
      </c>
      <c r="J397" t="s">
        <v>26</v>
      </c>
      <c r="K397" s="1">
        <v>72993</v>
      </c>
      <c r="L397" s="1">
        <v>61347</v>
      </c>
      <c r="M397" s="1">
        <v>-11646</v>
      </c>
      <c r="N397" s="1">
        <v>49277.41</v>
      </c>
      <c r="O397" s="1">
        <v>12069.59</v>
      </c>
      <c r="P397" s="1">
        <v>49277.41</v>
      </c>
      <c r="Q397">
        <v>0</v>
      </c>
      <c r="R397" s="1">
        <v>40528.39</v>
      </c>
      <c r="S397" s="1">
        <v>8749.02</v>
      </c>
    </row>
    <row r="398" spans="1:19" x14ac:dyDescent="0.25">
      <c r="A398" s="3">
        <v>1004</v>
      </c>
      <c r="B398" s="4" t="s">
        <v>304</v>
      </c>
      <c r="C398" s="4" t="str">
        <f t="shared" si="31"/>
        <v>19</v>
      </c>
      <c r="D398" t="s">
        <v>248</v>
      </c>
      <c r="E398" s="3" t="str">
        <f>"19102CA02"</f>
        <v>19102CA02</v>
      </c>
      <c r="F398" t="s">
        <v>318</v>
      </c>
      <c r="G398" t="s">
        <v>313</v>
      </c>
      <c r="H398" t="s">
        <v>314</v>
      </c>
      <c r="I398">
        <v>2</v>
      </c>
      <c r="J398" t="s">
        <v>26</v>
      </c>
      <c r="K398" s="1">
        <v>672923</v>
      </c>
      <c r="L398" s="1">
        <v>544680</v>
      </c>
      <c r="M398" s="1">
        <v>-128243</v>
      </c>
      <c r="N398" s="1">
        <v>522798.19</v>
      </c>
      <c r="O398" s="1">
        <v>21881.81</v>
      </c>
      <c r="P398" s="1">
        <v>522798.19</v>
      </c>
      <c r="Q398">
        <v>0</v>
      </c>
      <c r="R398" s="1">
        <v>521478.59</v>
      </c>
      <c r="S398" s="1">
        <v>1319.6</v>
      </c>
    </row>
    <row r="399" spans="1:19" x14ac:dyDescent="0.25">
      <c r="A399" s="3">
        <v>1004</v>
      </c>
      <c r="B399" s="4" t="s">
        <v>304</v>
      </c>
      <c r="C399" s="4" t="str">
        <f t="shared" si="31"/>
        <v>19</v>
      </c>
      <c r="D399" t="s">
        <v>248</v>
      </c>
      <c r="E399" s="3" t="str">
        <f>"19102CA03"</f>
        <v>19102CA03</v>
      </c>
      <c r="F399" t="s">
        <v>319</v>
      </c>
      <c r="G399" t="s">
        <v>313</v>
      </c>
      <c r="H399" t="s">
        <v>314</v>
      </c>
      <c r="I399">
        <v>2</v>
      </c>
      <c r="J399" t="s">
        <v>26</v>
      </c>
      <c r="K399" s="1">
        <v>941290</v>
      </c>
      <c r="L399" s="1">
        <v>707639</v>
      </c>
      <c r="M399" s="1">
        <v>-233651</v>
      </c>
      <c r="N399" s="1">
        <v>664140.01</v>
      </c>
      <c r="O399" s="1">
        <v>43498.99</v>
      </c>
      <c r="P399" s="1">
        <v>664140.01</v>
      </c>
      <c r="Q399">
        <v>0</v>
      </c>
      <c r="R399" s="1">
        <v>654312.93000000005</v>
      </c>
      <c r="S399" s="1">
        <v>9827.08</v>
      </c>
    </row>
    <row r="400" spans="1:19" x14ac:dyDescent="0.25">
      <c r="A400" s="3">
        <v>1004</v>
      </c>
      <c r="B400" s="4" t="s">
        <v>304</v>
      </c>
      <c r="C400" s="4" t="str">
        <f t="shared" si="31"/>
        <v>19</v>
      </c>
      <c r="D400" t="s">
        <v>248</v>
      </c>
      <c r="E400" s="3" t="str">
        <f>"19102CA04"</f>
        <v>19102CA04</v>
      </c>
      <c r="F400" t="s">
        <v>320</v>
      </c>
      <c r="G400" t="s">
        <v>313</v>
      </c>
      <c r="H400" t="s">
        <v>314</v>
      </c>
      <c r="I400">
        <v>2</v>
      </c>
      <c r="J400" t="s">
        <v>26</v>
      </c>
      <c r="K400" s="1">
        <v>1128085</v>
      </c>
      <c r="L400" s="1">
        <v>824433</v>
      </c>
      <c r="M400" s="1">
        <v>-303652</v>
      </c>
      <c r="N400" s="1">
        <v>731398.83</v>
      </c>
      <c r="O400" s="1">
        <v>93034.17</v>
      </c>
      <c r="P400" s="1">
        <v>731398.83</v>
      </c>
      <c r="Q400">
        <v>0</v>
      </c>
      <c r="R400" s="1">
        <v>723508.83</v>
      </c>
      <c r="S400" s="1">
        <v>7890</v>
      </c>
    </row>
    <row r="401" spans="1:19" x14ac:dyDescent="0.25">
      <c r="A401" s="3">
        <v>1004</v>
      </c>
      <c r="B401" s="4" t="s">
        <v>304</v>
      </c>
      <c r="C401" s="4" t="str">
        <f t="shared" si="31"/>
        <v>19</v>
      </c>
      <c r="D401" t="s">
        <v>248</v>
      </c>
      <c r="E401" s="3" t="str">
        <f>"19102CA05"</f>
        <v>19102CA05</v>
      </c>
      <c r="F401" t="s">
        <v>321</v>
      </c>
      <c r="G401" t="s">
        <v>313</v>
      </c>
      <c r="H401" t="s">
        <v>314</v>
      </c>
      <c r="I401">
        <v>2</v>
      </c>
      <c r="J401" t="s">
        <v>26</v>
      </c>
      <c r="K401" s="1">
        <v>245230</v>
      </c>
      <c r="L401" s="1">
        <v>211275</v>
      </c>
      <c r="M401" s="1">
        <v>-33955</v>
      </c>
      <c r="N401" s="1">
        <v>197072.06</v>
      </c>
      <c r="O401" s="1">
        <v>14202.94</v>
      </c>
      <c r="P401" s="1">
        <v>197072.06</v>
      </c>
      <c r="Q401">
        <v>0</v>
      </c>
      <c r="R401" s="1">
        <v>191266.9</v>
      </c>
      <c r="S401" s="1">
        <v>5805.16</v>
      </c>
    </row>
    <row r="402" spans="1:19" x14ac:dyDescent="0.25">
      <c r="A402" s="3">
        <v>1004</v>
      </c>
      <c r="B402" s="4" t="s">
        <v>304</v>
      </c>
      <c r="C402" s="4" t="str">
        <f t="shared" si="31"/>
        <v>19</v>
      </c>
      <c r="D402" t="s">
        <v>248</v>
      </c>
      <c r="E402" s="3" t="str">
        <f>"19102CO01"</f>
        <v>19102CO01</v>
      </c>
      <c r="F402" t="s">
        <v>322</v>
      </c>
      <c r="G402" t="s">
        <v>313</v>
      </c>
      <c r="H402" t="s">
        <v>314</v>
      </c>
      <c r="I402">
        <v>2</v>
      </c>
      <c r="J402" t="s">
        <v>26</v>
      </c>
      <c r="K402" s="1">
        <v>624900</v>
      </c>
      <c r="L402" s="1">
        <v>471538</v>
      </c>
      <c r="M402" s="1">
        <v>-153362</v>
      </c>
      <c r="N402" s="1">
        <v>428406.94</v>
      </c>
      <c r="O402" s="1">
        <v>43131.06</v>
      </c>
      <c r="P402" s="1">
        <v>428406.94</v>
      </c>
      <c r="Q402">
        <v>0</v>
      </c>
      <c r="R402" s="1">
        <v>423524.98</v>
      </c>
      <c r="S402" s="1">
        <v>4881.96</v>
      </c>
    </row>
    <row r="403" spans="1:19" x14ac:dyDescent="0.25">
      <c r="A403" s="3">
        <v>1004</v>
      </c>
      <c r="B403" s="4" t="s">
        <v>304</v>
      </c>
      <c r="C403" s="4" t="str">
        <f t="shared" si="31"/>
        <v>19</v>
      </c>
      <c r="D403" t="s">
        <v>248</v>
      </c>
      <c r="E403" s="3" t="str">
        <f>"19102CO02"</f>
        <v>19102CO02</v>
      </c>
      <c r="F403" t="s">
        <v>323</v>
      </c>
      <c r="G403" t="s">
        <v>313</v>
      </c>
      <c r="H403" t="s">
        <v>314</v>
      </c>
      <c r="I403">
        <v>2</v>
      </c>
      <c r="J403" t="s">
        <v>26</v>
      </c>
      <c r="K403" s="1">
        <v>435044</v>
      </c>
      <c r="L403" s="1">
        <v>337268</v>
      </c>
      <c r="M403" s="1">
        <v>-97776</v>
      </c>
      <c r="N403" s="1">
        <v>307341.61</v>
      </c>
      <c r="O403" s="1">
        <v>29926.39</v>
      </c>
      <c r="P403" s="1">
        <v>307341.61</v>
      </c>
      <c r="Q403">
        <v>0</v>
      </c>
      <c r="R403" s="1">
        <v>302651.2</v>
      </c>
      <c r="S403" s="1">
        <v>4690.41</v>
      </c>
    </row>
    <row r="404" spans="1:19" x14ac:dyDescent="0.25">
      <c r="A404" s="3">
        <v>1004</v>
      </c>
      <c r="B404" s="4" t="s">
        <v>304</v>
      </c>
      <c r="C404" s="4" t="str">
        <f t="shared" si="31"/>
        <v>19</v>
      </c>
      <c r="D404" t="s">
        <v>248</v>
      </c>
      <c r="E404" s="3" t="str">
        <f>"19102CO03"</f>
        <v>19102CO03</v>
      </c>
      <c r="F404" t="s">
        <v>324</v>
      </c>
      <c r="G404" t="s">
        <v>313</v>
      </c>
      <c r="H404" t="s">
        <v>314</v>
      </c>
      <c r="I404">
        <v>2</v>
      </c>
      <c r="J404" t="s">
        <v>26</v>
      </c>
      <c r="K404" s="1">
        <v>481617</v>
      </c>
      <c r="L404" s="1">
        <v>337668</v>
      </c>
      <c r="M404" s="1">
        <v>-143949</v>
      </c>
      <c r="N404" s="1">
        <v>309409.28000000003</v>
      </c>
      <c r="O404" s="1">
        <v>28258.720000000001</v>
      </c>
      <c r="P404" s="1">
        <v>309409.28000000003</v>
      </c>
      <c r="Q404">
        <v>0</v>
      </c>
      <c r="R404" s="1">
        <v>280083.15000000002</v>
      </c>
      <c r="S404" s="1">
        <v>29326.13</v>
      </c>
    </row>
    <row r="405" spans="1:19" x14ac:dyDescent="0.25">
      <c r="A405" s="3">
        <v>1004</v>
      </c>
      <c r="B405" s="4" t="s">
        <v>304</v>
      </c>
      <c r="C405" s="4" t="str">
        <f t="shared" si="31"/>
        <v>19</v>
      </c>
      <c r="D405" t="s">
        <v>248</v>
      </c>
      <c r="E405" s="3" t="str">
        <f>"19102CO04"</f>
        <v>19102CO04</v>
      </c>
      <c r="F405" t="s">
        <v>325</v>
      </c>
      <c r="G405" t="s">
        <v>313</v>
      </c>
      <c r="H405" t="s">
        <v>314</v>
      </c>
      <c r="I405">
        <v>2</v>
      </c>
      <c r="J405" t="s">
        <v>26</v>
      </c>
      <c r="K405" s="1">
        <v>728367</v>
      </c>
      <c r="L405" s="1">
        <v>519130</v>
      </c>
      <c r="M405" s="1">
        <v>-209237</v>
      </c>
      <c r="N405" s="1">
        <v>510050.08</v>
      </c>
      <c r="O405" s="1">
        <v>9079.92</v>
      </c>
      <c r="P405" s="1">
        <v>510050.08</v>
      </c>
      <c r="Q405">
        <v>0</v>
      </c>
      <c r="R405" s="1">
        <v>506192.53</v>
      </c>
      <c r="S405" s="1">
        <v>3857.55</v>
      </c>
    </row>
    <row r="406" spans="1:19" x14ac:dyDescent="0.25">
      <c r="A406" s="3">
        <v>1004</v>
      </c>
      <c r="B406" s="4" t="s">
        <v>304</v>
      </c>
      <c r="C406" s="4" t="str">
        <f t="shared" si="31"/>
        <v>19</v>
      </c>
      <c r="D406" t="s">
        <v>248</v>
      </c>
      <c r="E406" s="3" t="str">
        <f>"19102CO06"</f>
        <v>19102CO06</v>
      </c>
      <c r="F406" t="s">
        <v>326</v>
      </c>
      <c r="G406" t="s">
        <v>313</v>
      </c>
      <c r="H406" t="s">
        <v>314</v>
      </c>
      <c r="I406">
        <v>2</v>
      </c>
      <c r="J406" t="s">
        <v>26</v>
      </c>
      <c r="K406" s="1">
        <v>792896</v>
      </c>
      <c r="L406" s="1">
        <v>602390</v>
      </c>
      <c r="M406" s="1">
        <v>-190506</v>
      </c>
      <c r="N406" s="1">
        <v>565057.12</v>
      </c>
      <c r="O406" s="1">
        <v>37332.879999999997</v>
      </c>
      <c r="P406" s="1">
        <v>565057.12</v>
      </c>
      <c r="Q406">
        <v>0</v>
      </c>
      <c r="R406" s="1">
        <v>558941.99</v>
      </c>
      <c r="S406" s="1">
        <v>6115.13</v>
      </c>
    </row>
    <row r="407" spans="1:19" x14ac:dyDescent="0.25">
      <c r="A407" s="3">
        <v>1004</v>
      </c>
      <c r="B407" s="4" t="s">
        <v>304</v>
      </c>
      <c r="C407" s="4" t="str">
        <f t="shared" si="31"/>
        <v>19</v>
      </c>
      <c r="D407" t="s">
        <v>248</v>
      </c>
      <c r="E407" s="3" t="str">
        <f>"19102CO07"</f>
        <v>19102CO07</v>
      </c>
      <c r="F407" t="s">
        <v>327</v>
      </c>
      <c r="G407" t="s">
        <v>313</v>
      </c>
      <c r="H407" t="s">
        <v>314</v>
      </c>
      <c r="I407">
        <v>2</v>
      </c>
      <c r="J407" t="s">
        <v>26</v>
      </c>
      <c r="K407" s="1">
        <v>207687</v>
      </c>
      <c r="L407" s="1">
        <v>205757</v>
      </c>
      <c r="M407" s="1">
        <v>-1930</v>
      </c>
      <c r="N407" s="1">
        <v>193897.82</v>
      </c>
      <c r="O407" s="1">
        <v>11859.18</v>
      </c>
      <c r="P407" s="1">
        <v>193897.82</v>
      </c>
      <c r="Q407">
        <v>0</v>
      </c>
      <c r="R407" s="1">
        <v>187890.53</v>
      </c>
      <c r="S407" s="1">
        <v>6007.29</v>
      </c>
    </row>
    <row r="408" spans="1:19" x14ac:dyDescent="0.25">
      <c r="A408" s="3">
        <v>1004</v>
      </c>
      <c r="B408" s="4" t="s">
        <v>304</v>
      </c>
      <c r="C408" s="4" t="str">
        <f t="shared" si="31"/>
        <v>19</v>
      </c>
      <c r="D408" t="s">
        <v>248</v>
      </c>
      <c r="E408" s="3" t="str">
        <f>"19102CO08"</f>
        <v>19102CO08</v>
      </c>
      <c r="F408" t="s">
        <v>328</v>
      </c>
      <c r="G408" t="s">
        <v>313</v>
      </c>
      <c r="H408" t="s">
        <v>314</v>
      </c>
      <c r="I408">
        <v>2</v>
      </c>
      <c r="J408" t="s">
        <v>26</v>
      </c>
      <c r="K408" s="1">
        <v>424887</v>
      </c>
      <c r="L408" s="1">
        <v>322583</v>
      </c>
      <c r="M408" s="1">
        <v>-102304</v>
      </c>
      <c r="N408" s="1">
        <v>303517.55</v>
      </c>
      <c r="O408" s="1">
        <v>19065.45</v>
      </c>
      <c r="P408" s="1">
        <v>303517.55</v>
      </c>
      <c r="Q408">
        <v>0</v>
      </c>
      <c r="R408" s="1">
        <v>302644.08</v>
      </c>
      <c r="S408">
        <v>873.47</v>
      </c>
    </row>
    <row r="409" spans="1:19" x14ac:dyDescent="0.25">
      <c r="A409" s="3">
        <v>1004</v>
      </c>
      <c r="B409" s="4" t="s">
        <v>304</v>
      </c>
      <c r="C409" s="4" t="str">
        <f t="shared" si="31"/>
        <v>19</v>
      </c>
      <c r="D409" t="s">
        <v>248</v>
      </c>
      <c r="E409" s="3" t="str">
        <f>"19102CO09"</f>
        <v>19102CO09</v>
      </c>
      <c r="F409" t="s">
        <v>329</v>
      </c>
      <c r="G409" t="s">
        <v>313</v>
      </c>
      <c r="H409" t="s">
        <v>314</v>
      </c>
      <c r="I409">
        <v>2</v>
      </c>
      <c r="J409" t="s">
        <v>26</v>
      </c>
      <c r="K409" s="1">
        <v>666035</v>
      </c>
      <c r="L409" s="1">
        <v>695700</v>
      </c>
      <c r="M409" s="1">
        <v>29665</v>
      </c>
      <c r="N409" s="1">
        <v>669021.02</v>
      </c>
      <c r="O409" s="1">
        <v>26678.98</v>
      </c>
      <c r="P409" s="1">
        <v>663270.40000000002</v>
      </c>
      <c r="Q409" s="1">
        <v>5750.62</v>
      </c>
      <c r="R409" s="1">
        <v>618517.42000000004</v>
      </c>
      <c r="S409" s="1">
        <v>44752.98</v>
      </c>
    </row>
    <row r="410" spans="1:19" x14ac:dyDescent="0.25">
      <c r="A410" s="3">
        <v>1004</v>
      </c>
      <c r="B410" s="4" t="s">
        <v>304</v>
      </c>
      <c r="C410" s="4" t="str">
        <f t="shared" si="31"/>
        <v>19</v>
      </c>
      <c r="D410" t="s">
        <v>248</v>
      </c>
      <c r="E410" s="3" t="str">
        <f>"19102RM01"</f>
        <v>19102RM01</v>
      </c>
      <c r="F410" t="s">
        <v>330</v>
      </c>
      <c r="G410" t="s">
        <v>311</v>
      </c>
      <c r="H410" t="s">
        <v>312</v>
      </c>
      <c r="I410">
        <v>2</v>
      </c>
      <c r="J410" t="s">
        <v>26</v>
      </c>
      <c r="K410" s="1">
        <v>1425422</v>
      </c>
      <c r="L410" s="1">
        <v>1390124.5</v>
      </c>
      <c r="M410" s="1">
        <v>-35297.5</v>
      </c>
      <c r="N410" s="1">
        <v>1351498</v>
      </c>
      <c r="O410" s="1">
        <v>38626.5</v>
      </c>
      <c r="P410" s="1">
        <v>1351498</v>
      </c>
      <c r="Q410">
        <v>0</v>
      </c>
      <c r="R410" s="1">
        <v>1340624.3400000001</v>
      </c>
      <c r="S410" s="1">
        <v>10873.66</v>
      </c>
    </row>
    <row r="411" spans="1:19" x14ac:dyDescent="0.25">
      <c r="A411" s="3">
        <v>1004</v>
      </c>
      <c r="B411" s="4" t="s">
        <v>304</v>
      </c>
      <c r="C411" s="4" t="str">
        <f t="shared" si="31"/>
        <v>19</v>
      </c>
      <c r="D411" t="s">
        <v>248</v>
      </c>
      <c r="E411" s="3" t="str">
        <f>"19102RM02"</f>
        <v>19102RM02</v>
      </c>
      <c r="F411" t="s">
        <v>331</v>
      </c>
      <c r="G411" t="s">
        <v>311</v>
      </c>
      <c r="H411" t="s">
        <v>312</v>
      </c>
      <c r="I411">
        <v>2</v>
      </c>
      <c r="J411" t="s">
        <v>26</v>
      </c>
      <c r="K411" s="1">
        <v>2258448</v>
      </c>
      <c r="L411" s="1">
        <v>1708123.63</v>
      </c>
      <c r="M411" s="1">
        <v>-550324.37</v>
      </c>
      <c r="N411" s="1">
        <v>1667902.26</v>
      </c>
      <c r="O411" s="1">
        <v>40221.370000000003</v>
      </c>
      <c r="P411" s="1">
        <v>1667902.26</v>
      </c>
      <c r="Q411">
        <v>0</v>
      </c>
      <c r="R411" s="1">
        <v>1644712.29</v>
      </c>
      <c r="S411" s="1">
        <v>23189.97</v>
      </c>
    </row>
    <row r="412" spans="1:19" x14ac:dyDescent="0.25">
      <c r="A412" s="3">
        <v>1004</v>
      </c>
      <c r="B412" s="4" t="s">
        <v>304</v>
      </c>
      <c r="C412" s="4" t="str">
        <f t="shared" si="31"/>
        <v>19</v>
      </c>
      <c r="D412" t="s">
        <v>248</v>
      </c>
      <c r="E412" s="3" t="str">
        <f>"19102RM03"</f>
        <v>19102RM03</v>
      </c>
      <c r="F412" t="s">
        <v>332</v>
      </c>
      <c r="G412" t="s">
        <v>311</v>
      </c>
      <c r="H412" t="s">
        <v>312</v>
      </c>
      <c r="I412">
        <v>2</v>
      </c>
      <c r="J412" t="s">
        <v>26</v>
      </c>
      <c r="K412" s="1">
        <v>527679</v>
      </c>
      <c r="L412" s="1">
        <v>359036</v>
      </c>
      <c r="M412" s="1">
        <v>-168643</v>
      </c>
      <c r="N412" s="1">
        <v>336922.67</v>
      </c>
      <c r="O412" s="1">
        <v>22113.33</v>
      </c>
      <c r="P412" s="1">
        <v>336922.67</v>
      </c>
      <c r="Q412">
        <v>0</v>
      </c>
      <c r="R412" s="1">
        <v>316870.82</v>
      </c>
      <c r="S412" s="1">
        <v>20051.849999999999</v>
      </c>
    </row>
    <row r="413" spans="1:19" x14ac:dyDescent="0.25">
      <c r="A413" s="3">
        <v>1004</v>
      </c>
      <c r="B413" s="4" t="s">
        <v>304</v>
      </c>
      <c r="C413" s="4" t="str">
        <f t="shared" si="31"/>
        <v>19</v>
      </c>
      <c r="D413" t="s">
        <v>248</v>
      </c>
      <c r="E413" s="3" t="str">
        <f>"19102RM04"</f>
        <v>19102RM04</v>
      </c>
      <c r="F413" t="s">
        <v>333</v>
      </c>
      <c r="G413" t="s">
        <v>311</v>
      </c>
      <c r="H413" t="s">
        <v>312</v>
      </c>
      <c r="I413">
        <v>2</v>
      </c>
      <c r="J413" t="s">
        <v>26</v>
      </c>
      <c r="K413" s="1">
        <v>1698703</v>
      </c>
      <c r="L413" s="1">
        <v>1550754</v>
      </c>
      <c r="M413" s="1">
        <v>-147949</v>
      </c>
      <c r="N413" s="1">
        <v>1490543.46</v>
      </c>
      <c r="O413" s="1">
        <v>60210.54</v>
      </c>
      <c r="P413" s="1">
        <v>1490543.46</v>
      </c>
      <c r="Q413">
        <v>0</v>
      </c>
      <c r="R413" s="1">
        <v>1461851.75</v>
      </c>
      <c r="S413" s="1">
        <v>28691.71</v>
      </c>
    </row>
    <row r="414" spans="1:19" x14ac:dyDescent="0.25">
      <c r="A414" s="3">
        <v>1004</v>
      </c>
      <c r="B414" s="4" t="s">
        <v>304</v>
      </c>
      <c r="C414" s="4" t="str">
        <f t="shared" ref="C414:C434" si="33">"19"</f>
        <v>19</v>
      </c>
      <c r="D414" t="s">
        <v>248</v>
      </c>
      <c r="E414" s="3" t="str">
        <f>"19102RM05"</f>
        <v>19102RM05</v>
      </c>
      <c r="F414" t="s">
        <v>334</v>
      </c>
      <c r="G414" t="s">
        <v>311</v>
      </c>
      <c r="H414" t="s">
        <v>312</v>
      </c>
      <c r="I414">
        <v>2</v>
      </c>
      <c r="J414" t="s">
        <v>26</v>
      </c>
      <c r="K414" s="1">
        <v>2803068</v>
      </c>
      <c r="L414" s="1">
        <v>2200859.17</v>
      </c>
      <c r="M414" s="1">
        <v>-602208.82999999996</v>
      </c>
      <c r="N414" s="1">
        <v>2037433.45</v>
      </c>
      <c r="O414" s="1">
        <v>163425.72</v>
      </c>
      <c r="P414" s="1">
        <v>2037433.45</v>
      </c>
      <c r="Q414">
        <v>0</v>
      </c>
      <c r="R414" s="1">
        <v>1894420.94</v>
      </c>
      <c r="S414" s="1">
        <v>143012.51</v>
      </c>
    </row>
    <row r="415" spans="1:19" x14ac:dyDescent="0.25">
      <c r="A415" s="3">
        <v>1004</v>
      </c>
      <c r="B415" s="4" t="s">
        <v>304</v>
      </c>
      <c r="C415" s="4" t="str">
        <f t="shared" si="33"/>
        <v>19</v>
      </c>
      <c r="D415" t="s">
        <v>248</v>
      </c>
      <c r="E415" s="3" t="str">
        <f>"19102RM06"</f>
        <v>19102RM06</v>
      </c>
      <c r="F415" t="s">
        <v>335</v>
      </c>
      <c r="G415" t="s">
        <v>311</v>
      </c>
      <c r="H415" t="s">
        <v>312</v>
      </c>
      <c r="I415">
        <v>2</v>
      </c>
      <c r="J415" t="s">
        <v>26</v>
      </c>
      <c r="K415" s="1">
        <v>2388809</v>
      </c>
      <c r="L415" s="1">
        <v>1996257.42</v>
      </c>
      <c r="M415" s="1">
        <v>-392551.58</v>
      </c>
      <c r="N415" s="1">
        <v>1971213.99</v>
      </c>
      <c r="O415" s="1">
        <v>25043.43</v>
      </c>
      <c r="P415" s="1">
        <v>1971213.99</v>
      </c>
      <c r="Q415">
        <v>0</v>
      </c>
      <c r="R415" s="1">
        <v>1939776.84</v>
      </c>
      <c r="S415" s="1">
        <v>31437.15</v>
      </c>
    </row>
    <row r="416" spans="1:19" x14ac:dyDescent="0.25">
      <c r="A416" s="3">
        <v>1004</v>
      </c>
      <c r="B416" s="4" t="s">
        <v>304</v>
      </c>
      <c r="C416" s="4" t="str">
        <f t="shared" si="33"/>
        <v>19</v>
      </c>
      <c r="D416" t="s">
        <v>248</v>
      </c>
      <c r="E416" s="3" t="str">
        <f>"19102RM07"</f>
        <v>19102RM07</v>
      </c>
      <c r="F416" t="s">
        <v>336</v>
      </c>
      <c r="G416" t="s">
        <v>311</v>
      </c>
      <c r="H416" t="s">
        <v>312</v>
      </c>
      <c r="I416">
        <v>2</v>
      </c>
      <c r="J416" t="s">
        <v>26</v>
      </c>
      <c r="K416" s="1">
        <v>1112308</v>
      </c>
      <c r="L416" s="1">
        <v>1053283</v>
      </c>
      <c r="M416" s="1">
        <v>-59025</v>
      </c>
      <c r="N416" s="1">
        <v>968033.95</v>
      </c>
      <c r="O416" s="1">
        <v>85249.05</v>
      </c>
      <c r="P416" s="1">
        <v>968033.95</v>
      </c>
      <c r="Q416">
        <v>0</v>
      </c>
      <c r="R416" s="1">
        <v>915463.98</v>
      </c>
      <c r="S416" s="1">
        <v>52569.97</v>
      </c>
    </row>
    <row r="417" spans="1:19" x14ac:dyDescent="0.25">
      <c r="A417" s="3">
        <v>1004</v>
      </c>
      <c r="B417" s="4" t="s">
        <v>304</v>
      </c>
      <c r="C417" s="4" t="str">
        <f t="shared" si="33"/>
        <v>19</v>
      </c>
      <c r="D417" t="s">
        <v>248</v>
      </c>
      <c r="E417" s="3" t="str">
        <f>"19102RM08"</f>
        <v>19102RM08</v>
      </c>
      <c r="F417" t="s">
        <v>337</v>
      </c>
      <c r="G417" t="s">
        <v>311</v>
      </c>
      <c r="H417" t="s">
        <v>312</v>
      </c>
      <c r="I417">
        <v>2</v>
      </c>
      <c r="J417" t="s">
        <v>26</v>
      </c>
      <c r="K417" s="1">
        <v>403960</v>
      </c>
      <c r="L417" s="1">
        <v>321685.8</v>
      </c>
      <c r="M417" s="1">
        <v>-82274.2</v>
      </c>
      <c r="N417" s="1">
        <v>314475.27</v>
      </c>
      <c r="O417" s="1">
        <v>7210.53</v>
      </c>
      <c r="P417" s="1">
        <v>314475.27</v>
      </c>
      <c r="Q417">
        <v>0</v>
      </c>
      <c r="R417" s="1">
        <v>310185.96000000002</v>
      </c>
      <c r="S417" s="1">
        <v>4289.3100000000004</v>
      </c>
    </row>
    <row r="418" spans="1:19" x14ac:dyDescent="0.25">
      <c r="A418" s="3">
        <v>1004</v>
      </c>
      <c r="B418" s="4" t="s">
        <v>304</v>
      </c>
      <c r="C418" s="4" t="str">
        <f t="shared" si="33"/>
        <v>19</v>
      </c>
      <c r="D418" t="s">
        <v>248</v>
      </c>
      <c r="E418" s="3" t="str">
        <f>"19102RM09"</f>
        <v>19102RM09</v>
      </c>
      <c r="F418" t="s">
        <v>338</v>
      </c>
      <c r="G418" t="s">
        <v>311</v>
      </c>
      <c r="H418" t="s">
        <v>312</v>
      </c>
      <c r="I418">
        <v>2</v>
      </c>
      <c r="J418" t="s">
        <v>26</v>
      </c>
      <c r="K418" s="1">
        <v>416798</v>
      </c>
      <c r="L418" s="1">
        <v>546891.51</v>
      </c>
      <c r="M418" s="1">
        <v>130093.51</v>
      </c>
      <c r="N418" s="1">
        <v>501967.73</v>
      </c>
      <c r="O418" s="1">
        <v>44923.78</v>
      </c>
      <c r="P418" s="1">
        <v>495647.95</v>
      </c>
      <c r="Q418" s="1">
        <v>6319.78</v>
      </c>
      <c r="R418" s="1">
        <v>475728.64000000001</v>
      </c>
      <c r="S418" s="1">
        <v>19919.310000000001</v>
      </c>
    </row>
    <row r="419" spans="1:19" x14ac:dyDescent="0.25">
      <c r="A419" s="3">
        <v>1004</v>
      </c>
      <c r="B419" s="4" t="s">
        <v>304</v>
      </c>
      <c r="C419" s="4" t="str">
        <f t="shared" si="33"/>
        <v>19</v>
      </c>
      <c r="D419" t="s">
        <v>248</v>
      </c>
      <c r="E419" s="3" t="str">
        <f>"19102RM10"</f>
        <v>19102RM10</v>
      </c>
      <c r="F419" t="s">
        <v>339</v>
      </c>
      <c r="G419" t="s">
        <v>311</v>
      </c>
      <c r="H419" t="s">
        <v>312</v>
      </c>
      <c r="I419">
        <v>2</v>
      </c>
      <c r="J419" t="s">
        <v>26</v>
      </c>
      <c r="K419" s="1">
        <v>2523326</v>
      </c>
      <c r="L419" s="1">
        <v>2081835.92</v>
      </c>
      <c r="M419" s="1">
        <v>-441490.08</v>
      </c>
      <c r="N419" s="1">
        <v>2024430.37</v>
      </c>
      <c r="O419" s="1">
        <v>57405.55</v>
      </c>
      <c r="P419" s="1">
        <v>2024430.37</v>
      </c>
      <c r="Q419">
        <v>0</v>
      </c>
      <c r="R419" s="1">
        <v>1987581.88</v>
      </c>
      <c r="S419" s="1">
        <v>36848.49</v>
      </c>
    </row>
    <row r="420" spans="1:19" x14ac:dyDescent="0.25">
      <c r="A420" s="3">
        <v>1004</v>
      </c>
      <c r="B420" s="4" t="s">
        <v>304</v>
      </c>
      <c r="C420" s="4" t="str">
        <f t="shared" si="33"/>
        <v>19</v>
      </c>
      <c r="D420" t="s">
        <v>248</v>
      </c>
      <c r="E420" s="3" t="str">
        <f>"19102RM11"</f>
        <v>19102RM11</v>
      </c>
      <c r="F420" t="s">
        <v>340</v>
      </c>
      <c r="G420" t="s">
        <v>311</v>
      </c>
      <c r="H420" t="s">
        <v>312</v>
      </c>
      <c r="I420">
        <v>2</v>
      </c>
      <c r="J420" t="s">
        <v>26</v>
      </c>
      <c r="K420" s="1">
        <v>547472</v>
      </c>
      <c r="L420" s="1">
        <v>479856</v>
      </c>
      <c r="M420" s="1">
        <v>-67616</v>
      </c>
      <c r="N420" s="1">
        <v>469372.76</v>
      </c>
      <c r="O420" s="1">
        <v>10483.24</v>
      </c>
      <c r="P420" s="1">
        <v>455192.73</v>
      </c>
      <c r="Q420" s="1">
        <v>14180.03</v>
      </c>
      <c r="R420" s="1">
        <v>451168.05</v>
      </c>
      <c r="S420" s="1">
        <v>4024.68</v>
      </c>
    </row>
    <row r="421" spans="1:19" x14ac:dyDescent="0.25">
      <c r="A421" s="3">
        <v>1004</v>
      </c>
      <c r="B421" s="4" t="s">
        <v>304</v>
      </c>
      <c r="C421" s="4" t="str">
        <f t="shared" si="33"/>
        <v>19</v>
      </c>
      <c r="D421" t="s">
        <v>248</v>
      </c>
      <c r="E421" s="3" t="str">
        <f>"19102RM12"</f>
        <v>19102RM12</v>
      </c>
      <c r="F421" t="s">
        <v>341</v>
      </c>
      <c r="G421" t="s">
        <v>311</v>
      </c>
      <c r="H421" t="s">
        <v>312</v>
      </c>
      <c r="I421">
        <v>2</v>
      </c>
      <c r="J421" t="s">
        <v>26</v>
      </c>
      <c r="K421" s="1">
        <v>1895474</v>
      </c>
      <c r="L421" s="1">
        <v>1516293.69</v>
      </c>
      <c r="M421" s="1">
        <v>-379180.31</v>
      </c>
      <c r="N421" s="1">
        <v>1489782.06</v>
      </c>
      <c r="O421" s="1">
        <v>26511.63</v>
      </c>
      <c r="P421" s="1">
        <v>1489782.06</v>
      </c>
      <c r="Q421">
        <v>0</v>
      </c>
      <c r="R421" s="1">
        <v>1461474.84</v>
      </c>
      <c r="S421" s="1">
        <v>28307.22</v>
      </c>
    </row>
    <row r="422" spans="1:19" x14ac:dyDescent="0.25">
      <c r="A422" s="3">
        <v>1004</v>
      </c>
      <c r="B422" s="4" t="s">
        <v>304</v>
      </c>
      <c r="C422" s="4" t="str">
        <f t="shared" si="33"/>
        <v>19</v>
      </c>
      <c r="D422" t="s">
        <v>248</v>
      </c>
      <c r="E422" s="3" t="str">
        <f>"19102RM13"</f>
        <v>19102RM13</v>
      </c>
      <c r="F422" t="s">
        <v>342</v>
      </c>
      <c r="G422" t="s">
        <v>311</v>
      </c>
      <c r="H422" t="s">
        <v>312</v>
      </c>
      <c r="I422">
        <v>2</v>
      </c>
      <c r="J422" t="s">
        <v>26</v>
      </c>
      <c r="K422" s="1">
        <v>786558</v>
      </c>
      <c r="L422" s="1">
        <v>619235.14</v>
      </c>
      <c r="M422" s="1">
        <v>-167322.85999999999</v>
      </c>
      <c r="N422" s="1">
        <v>605961.74</v>
      </c>
      <c r="O422" s="1">
        <v>13273.4</v>
      </c>
      <c r="P422" s="1">
        <v>605961.74</v>
      </c>
      <c r="Q422">
        <v>0</v>
      </c>
      <c r="R422" s="1">
        <v>581727.34</v>
      </c>
      <c r="S422" s="1">
        <v>24234.400000000001</v>
      </c>
    </row>
    <row r="423" spans="1:19" x14ac:dyDescent="0.25">
      <c r="A423" s="3">
        <v>1004</v>
      </c>
      <c r="B423" s="4" t="s">
        <v>304</v>
      </c>
      <c r="C423" s="4" t="str">
        <f t="shared" si="33"/>
        <v>19</v>
      </c>
      <c r="D423" t="s">
        <v>248</v>
      </c>
      <c r="E423" s="3" t="str">
        <f>"19102RM14"</f>
        <v>19102RM14</v>
      </c>
      <c r="F423" t="s">
        <v>343</v>
      </c>
      <c r="G423" t="s">
        <v>311</v>
      </c>
      <c r="H423" t="s">
        <v>312</v>
      </c>
      <c r="I423">
        <v>2</v>
      </c>
      <c r="J423" t="s">
        <v>26</v>
      </c>
      <c r="K423" s="1">
        <v>2110885</v>
      </c>
      <c r="L423" s="1">
        <v>1739743.44</v>
      </c>
      <c r="M423" s="1">
        <v>-371141.56</v>
      </c>
      <c r="N423" s="1">
        <v>1639077.54</v>
      </c>
      <c r="O423" s="1">
        <v>100665.9</v>
      </c>
      <c r="P423" s="1">
        <v>1639077.54</v>
      </c>
      <c r="Q423">
        <v>0</v>
      </c>
      <c r="R423" s="1">
        <v>1613328.42</v>
      </c>
      <c r="S423" s="1">
        <v>25749.119999999999</v>
      </c>
    </row>
    <row r="424" spans="1:19" x14ac:dyDescent="0.25">
      <c r="A424" s="3">
        <v>1004</v>
      </c>
      <c r="B424" s="4" t="s">
        <v>304</v>
      </c>
      <c r="C424" s="4" t="str">
        <f t="shared" si="33"/>
        <v>19</v>
      </c>
      <c r="D424" t="s">
        <v>248</v>
      </c>
      <c r="E424" s="3" t="str">
        <f>"19102RM15"</f>
        <v>19102RM15</v>
      </c>
      <c r="F424" t="s">
        <v>344</v>
      </c>
      <c r="G424" t="s">
        <v>311</v>
      </c>
      <c r="H424" t="s">
        <v>312</v>
      </c>
      <c r="I424">
        <v>2</v>
      </c>
      <c r="J424" t="s">
        <v>26</v>
      </c>
      <c r="K424" s="1">
        <v>373154</v>
      </c>
      <c r="L424" s="1">
        <v>357395.9</v>
      </c>
      <c r="M424" s="1">
        <v>-15758.1</v>
      </c>
      <c r="N424" s="1">
        <v>346597.33</v>
      </c>
      <c r="O424" s="1">
        <v>10798.57</v>
      </c>
      <c r="P424" s="1">
        <v>346597.33</v>
      </c>
      <c r="Q424">
        <v>0</v>
      </c>
      <c r="R424" s="1">
        <v>343580.96</v>
      </c>
      <c r="S424" s="1">
        <v>3016.37</v>
      </c>
    </row>
    <row r="425" spans="1:19" x14ac:dyDescent="0.25">
      <c r="A425" s="3">
        <v>1004</v>
      </c>
      <c r="B425" s="4" t="s">
        <v>304</v>
      </c>
      <c r="C425" s="4" t="str">
        <f t="shared" si="33"/>
        <v>19</v>
      </c>
      <c r="D425" t="s">
        <v>248</v>
      </c>
      <c r="E425" s="3" t="str">
        <f>"19102RM16"</f>
        <v>19102RM16</v>
      </c>
      <c r="F425" t="s">
        <v>345</v>
      </c>
      <c r="G425" t="s">
        <v>311</v>
      </c>
      <c r="H425" t="s">
        <v>312</v>
      </c>
      <c r="I425">
        <v>2</v>
      </c>
      <c r="J425" t="s">
        <v>26</v>
      </c>
      <c r="K425" s="1">
        <v>2381590</v>
      </c>
      <c r="L425" s="1">
        <v>1855936.4</v>
      </c>
      <c r="M425" s="1">
        <v>-525653.6</v>
      </c>
      <c r="N425" s="1">
        <v>1798369.92</v>
      </c>
      <c r="O425" s="1">
        <v>57566.48</v>
      </c>
      <c r="P425" s="1">
        <v>1798369.92</v>
      </c>
      <c r="Q425">
        <v>0</v>
      </c>
      <c r="R425" s="1">
        <v>1785569.6</v>
      </c>
      <c r="S425" s="1">
        <v>12800.32</v>
      </c>
    </row>
    <row r="426" spans="1:19" x14ac:dyDescent="0.25">
      <c r="A426" s="3">
        <v>1004</v>
      </c>
      <c r="B426" s="4" t="s">
        <v>304</v>
      </c>
      <c r="C426" s="4" t="str">
        <f t="shared" si="33"/>
        <v>19</v>
      </c>
      <c r="D426" t="s">
        <v>248</v>
      </c>
      <c r="E426" s="3" t="str">
        <f>"19102RM17"</f>
        <v>19102RM17</v>
      </c>
      <c r="F426" t="s">
        <v>346</v>
      </c>
      <c r="G426" t="s">
        <v>311</v>
      </c>
      <c r="H426" t="s">
        <v>312</v>
      </c>
      <c r="I426">
        <v>2</v>
      </c>
      <c r="J426" t="s">
        <v>26</v>
      </c>
      <c r="K426" s="1">
        <v>720030</v>
      </c>
      <c r="L426" s="1">
        <v>565367.73</v>
      </c>
      <c r="M426" s="1">
        <v>-154662.26999999999</v>
      </c>
      <c r="N426" s="1">
        <v>533763.68000000005</v>
      </c>
      <c r="O426" s="1">
        <v>31604.05</v>
      </c>
      <c r="P426" s="1">
        <v>533763.68000000005</v>
      </c>
      <c r="Q426">
        <v>0</v>
      </c>
      <c r="R426" s="1">
        <v>531849.43999999994</v>
      </c>
      <c r="S426" s="1">
        <v>1914.24</v>
      </c>
    </row>
    <row r="427" spans="1:19" x14ac:dyDescent="0.25">
      <c r="A427" s="3">
        <v>1004</v>
      </c>
      <c r="B427" s="4" t="s">
        <v>304</v>
      </c>
      <c r="C427" s="4" t="str">
        <f t="shared" si="33"/>
        <v>19</v>
      </c>
      <c r="D427" t="s">
        <v>248</v>
      </c>
      <c r="E427" s="3" t="str">
        <f>"19102RM18"</f>
        <v>19102RM18</v>
      </c>
      <c r="F427" t="s">
        <v>347</v>
      </c>
      <c r="G427" t="s">
        <v>311</v>
      </c>
      <c r="H427" t="s">
        <v>312</v>
      </c>
      <c r="I427">
        <v>2</v>
      </c>
      <c r="J427" t="s">
        <v>26</v>
      </c>
      <c r="K427" s="1">
        <v>318479</v>
      </c>
      <c r="L427" s="1">
        <v>199263.23</v>
      </c>
      <c r="M427" s="1">
        <v>-119215.77</v>
      </c>
      <c r="N427" s="1">
        <v>190261.24</v>
      </c>
      <c r="O427" s="1">
        <v>9001.99</v>
      </c>
      <c r="P427" s="1">
        <v>190261.24</v>
      </c>
      <c r="Q427">
        <v>0</v>
      </c>
      <c r="R427" s="1">
        <v>189746.12</v>
      </c>
      <c r="S427">
        <v>515.12</v>
      </c>
    </row>
    <row r="428" spans="1:19" x14ac:dyDescent="0.25">
      <c r="A428" s="3">
        <v>1004</v>
      </c>
      <c r="B428" s="4" t="s">
        <v>304</v>
      </c>
      <c r="C428" s="4" t="str">
        <f t="shared" si="33"/>
        <v>19</v>
      </c>
      <c r="D428" t="s">
        <v>248</v>
      </c>
      <c r="E428" s="3" t="str">
        <f>"19102RM19"</f>
        <v>19102RM19</v>
      </c>
      <c r="F428" t="s">
        <v>348</v>
      </c>
      <c r="G428" t="s">
        <v>311</v>
      </c>
      <c r="H428" t="s">
        <v>312</v>
      </c>
      <c r="I428">
        <v>2</v>
      </c>
      <c r="J428" t="s">
        <v>26</v>
      </c>
      <c r="K428" s="1">
        <v>710747</v>
      </c>
      <c r="L428" s="1">
        <v>588382.56999999995</v>
      </c>
      <c r="M428" s="1">
        <v>-122364.43</v>
      </c>
      <c r="N428" s="1">
        <v>564445.1</v>
      </c>
      <c r="O428" s="1">
        <v>23937.47</v>
      </c>
      <c r="P428" s="1">
        <v>564445.1</v>
      </c>
      <c r="Q428">
        <v>0</v>
      </c>
      <c r="R428" s="1">
        <v>558713.53</v>
      </c>
      <c r="S428" s="1">
        <v>5731.57</v>
      </c>
    </row>
    <row r="429" spans="1:19" x14ac:dyDescent="0.25">
      <c r="A429" s="3">
        <v>1004</v>
      </c>
      <c r="B429" s="4" t="s">
        <v>304</v>
      </c>
      <c r="C429" s="4" t="str">
        <f t="shared" si="33"/>
        <v>19</v>
      </c>
      <c r="D429" t="s">
        <v>248</v>
      </c>
      <c r="E429" s="3" t="str">
        <f>"19102RM20"</f>
        <v>19102RM20</v>
      </c>
      <c r="F429" t="s">
        <v>349</v>
      </c>
      <c r="G429" t="s">
        <v>311</v>
      </c>
      <c r="H429" t="s">
        <v>312</v>
      </c>
      <c r="I429">
        <v>2</v>
      </c>
      <c r="J429" t="s">
        <v>26</v>
      </c>
      <c r="K429" s="1">
        <v>2075126</v>
      </c>
      <c r="L429" s="1">
        <v>1315287.31</v>
      </c>
      <c r="M429" s="1">
        <v>-759838.69</v>
      </c>
      <c r="N429" s="1">
        <v>1294528.81</v>
      </c>
      <c r="O429" s="1">
        <v>20758.5</v>
      </c>
      <c r="P429" s="1">
        <v>1294528.81</v>
      </c>
      <c r="Q429">
        <v>0</v>
      </c>
      <c r="R429" s="1">
        <v>1290245.78</v>
      </c>
      <c r="S429" s="1">
        <v>4283.03</v>
      </c>
    </row>
    <row r="430" spans="1:19" x14ac:dyDescent="0.25">
      <c r="A430" s="3">
        <v>1004</v>
      </c>
      <c r="B430" s="4" t="s">
        <v>304</v>
      </c>
      <c r="C430" s="4" t="str">
        <f t="shared" si="33"/>
        <v>19</v>
      </c>
      <c r="D430" t="s">
        <v>248</v>
      </c>
      <c r="E430" s="3" t="str">
        <f>"19102RM21"</f>
        <v>19102RM21</v>
      </c>
      <c r="F430" t="s">
        <v>350</v>
      </c>
      <c r="G430" t="s">
        <v>311</v>
      </c>
      <c r="H430" t="s">
        <v>312</v>
      </c>
      <c r="I430">
        <v>2</v>
      </c>
      <c r="J430" t="s">
        <v>26</v>
      </c>
      <c r="K430" s="1">
        <v>487413</v>
      </c>
      <c r="L430" s="1">
        <v>671234</v>
      </c>
      <c r="M430" s="1">
        <v>183821</v>
      </c>
      <c r="N430" s="1">
        <v>606096.9</v>
      </c>
      <c r="O430" s="1">
        <v>65137.1</v>
      </c>
      <c r="P430" s="1">
        <v>606096.9</v>
      </c>
      <c r="Q430">
        <v>0</v>
      </c>
      <c r="R430" s="1">
        <v>586550.18000000005</v>
      </c>
      <c r="S430" s="1">
        <v>19546.72</v>
      </c>
    </row>
    <row r="431" spans="1:19" x14ac:dyDescent="0.25">
      <c r="A431" s="3">
        <v>1004</v>
      </c>
      <c r="B431" s="4" t="s">
        <v>304</v>
      </c>
      <c r="C431" s="4" t="str">
        <f t="shared" si="33"/>
        <v>19</v>
      </c>
      <c r="D431" t="s">
        <v>248</v>
      </c>
      <c r="E431" s="3" t="str">
        <f>"19102RM22"</f>
        <v>19102RM22</v>
      </c>
      <c r="F431" t="s">
        <v>351</v>
      </c>
      <c r="G431" t="s">
        <v>311</v>
      </c>
      <c r="H431" t="s">
        <v>312</v>
      </c>
      <c r="I431">
        <v>2</v>
      </c>
      <c r="J431" t="s">
        <v>26</v>
      </c>
      <c r="K431" s="1">
        <v>1051160</v>
      </c>
      <c r="L431" s="1">
        <v>853575.81</v>
      </c>
      <c r="M431" s="1">
        <v>-197584.19</v>
      </c>
      <c r="N431" s="1">
        <v>795347.36</v>
      </c>
      <c r="O431" s="1">
        <v>58228.45</v>
      </c>
      <c r="P431" s="1">
        <v>795347.36</v>
      </c>
      <c r="Q431">
        <v>0</v>
      </c>
      <c r="R431" s="1">
        <v>794217.39</v>
      </c>
      <c r="S431" s="1">
        <v>1129.97</v>
      </c>
    </row>
    <row r="432" spans="1:19" x14ac:dyDescent="0.25">
      <c r="A432" s="3">
        <v>1004</v>
      </c>
      <c r="B432" s="4" t="s">
        <v>304</v>
      </c>
      <c r="C432" s="4" t="str">
        <f t="shared" si="33"/>
        <v>19</v>
      </c>
      <c r="D432" t="s">
        <v>248</v>
      </c>
      <c r="E432" s="3" t="str">
        <f>"19102RM23"</f>
        <v>19102RM23</v>
      </c>
      <c r="F432" t="s">
        <v>352</v>
      </c>
      <c r="G432" t="s">
        <v>311</v>
      </c>
      <c r="H432" t="s">
        <v>312</v>
      </c>
      <c r="I432">
        <v>2</v>
      </c>
      <c r="J432" t="s">
        <v>26</v>
      </c>
      <c r="K432" s="1">
        <v>1353777</v>
      </c>
      <c r="L432" s="1">
        <v>925805.65</v>
      </c>
      <c r="M432" s="1">
        <v>-427971.35</v>
      </c>
      <c r="N432" s="1">
        <v>901038.13</v>
      </c>
      <c r="O432" s="1">
        <v>24767.52</v>
      </c>
      <c r="P432" s="1">
        <v>901038.13</v>
      </c>
      <c r="Q432">
        <v>0</v>
      </c>
      <c r="R432" s="1">
        <v>888256.31</v>
      </c>
      <c r="S432" s="1">
        <v>12781.82</v>
      </c>
    </row>
    <row r="433" spans="1:19" x14ac:dyDescent="0.25">
      <c r="A433" s="3">
        <v>1004</v>
      </c>
      <c r="B433" s="4" t="s">
        <v>304</v>
      </c>
      <c r="C433" s="4" t="str">
        <f t="shared" si="33"/>
        <v>19</v>
      </c>
      <c r="D433" t="s">
        <v>248</v>
      </c>
      <c r="E433" s="3" t="str">
        <f>"19102RM24"</f>
        <v>19102RM24</v>
      </c>
      <c r="F433" t="s">
        <v>353</v>
      </c>
      <c r="G433" t="s">
        <v>311</v>
      </c>
      <c r="H433" t="s">
        <v>312</v>
      </c>
      <c r="I433">
        <v>2</v>
      </c>
      <c r="J433" t="s">
        <v>26</v>
      </c>
      <c r="K433" s="1">
        <v>803293</v>
      </c>
      <c r="L433" s="1">
        <v>726168.18</v>
      </c>
      <c r="M433" s="1">
        <v>-77124.820000000007</v>
      </c>
      <c r="N433" s="1">
        <v>702243.79</v>
      </c>
      <c r="O433" s="1">
        <v>23924.39</v>
      </c>
      <c r="P433" s="1">
        <v>702243.79</v>
      </c>
      <c r="Q433">
        <v>0</v>
      </c>
      <c r="R433" s="1">
        <v>687764.42</v>
      </c>
      <c r="S433" s="1">
        <v>14479.37</v>
      </c>
    </row>
    <row r="434" spans="1:19" x14ac:dyDescent="0.25">
      <c r="A434" s="3">
        <v>1004</v>
      </c>
      <c r="B434" s="4" t="s">
        <v>304</v>
      </c>
      <c r="C434" s="4" t="str">
        <f t="shared" si="33"/>
        <v>19</v>
      </c>
      <c r="D434" t="s">
        <v>248</v>
      </c>
      <c r="E434" s="3" t="str">
        <f>"19102RM25"</f>
        <v>19102RM25</v>
      </c>
      <c r="F434" t="s">
        <v>354</v>
      </c>
      <c r="G434" t="s">
        <v>311</v>
      </c>
      <c r="H434" t="s">
        <v>312</v>
      </c>
      <c r="I434">
        <v>2</v>
      </c>
      <c r="J434" t="s">
        <v>26</v>
      </c>
      <c r="K434" s="1">
        <v>4178022</v>
      </c>
      <c r="L434" s="1">
        <v>4244796</v>
      </c>
      <c r="M434" s="1">
        <v>66774</v>
      </c>
      <c r="N434" s="1">
        <v>4188506.74</v>
      </c>
      <c r="O434" s="1">
        <v>56289.26</v>
      </c>
      <c r="P434" s="1">
        <v>4188506.74</v>
      </c>
      <c r="Q434">
        <v>0</v>
      </c>
      <c r="R434" s="1">
        <v>4072994.47</v>
      </c>
      <c r="S434" s="1">
        <v>115512.27</v>
      </c>
    </row>
    <row r="435" spans="1:19" x14ac:dyDescent="0.25">
      <c r="A435" s="3">
        <v>1005</v>
      </c>
      <c r="B435" s="4" t="s">
        <v>355</v>
      </c>
      <c r="C435" s="4" t="str">
        <f>"11"</f>
        <v>11</v>
      </c>
      <c r="D435" t="s">
        <v>68</v>
      </c>
      <c r="E435" s="3" t="str">
        <f>"111040000"</f>
        <v>111040000</v>
      </c>
      <c r="F435" t="s">
        <v>356</v>
      </c>
      <c r="G435" t="s">
        <v>357</v>
      </c>
      <c r="H435" t="s">
        <v>356</v>
      </c>
      <c r="I435">
        <v>1</v>
      </c>
      <c r="J435" t="s">
        <v>25</v>
      </c>
      <c r="K435" s="1">
        <v>12986129</v>
      </c>
      <c r="L435" s="1">
        <v>14427909.949999999</v>
      </c>
      <c r="M435" s="1">
        <v>1441780.95</v>
      </c>
      <c r="N435" s="1">
        <v>14427900.52</v>
      </c>
      <c r="O435">
        <v>9.43</v>
      </c>
      <c r="P435" s="1">
        <v>14427900.52</v>
      </c>
      <c r="Q435">
        <v>0</v>
      </c>
      <c r="R435" s="1">
        <v>14415062.91</v>
      </c>
      <c r="S435" s="1">
        <v>12837.61</v>
      </c>
    </row>
    <row r="436" spans="1:19" x14ac:dyDescent="0.25">
      <c r="A436" s="3">
        <v>1005</v>
      </c>
      <c r="B436" s="4" t="s">
        <v>355</v>
      </c>
      <c r="C436" s="4" t="str">
        <f>"11"</f>
        <v>11</v>
      </c>
      <c r="D436" t="s">
        <v>68</v>
      </c>
      <c r="E436" s="3" t="str">
        <f>"111040000"</f>
        <v>111040000</v>
      </c>
      <c r="F436" t="s">
        <v>356</v>
      </c>
      <c r="G436" t="s">
        <v>357</v>
      </c>
      <c r="H436" t="s">
        <v>356</v>
      </c>
      <c r="I436">
        <v>2</v>
      </c>
      <c r="J436" t="s">
        <v>26</v>
      </c>
      <c r="K436" s="1">
        <v>27565989</v>
      </c>
      <c r="L436" s="1">
        <v>27511141.010000002</v>
      </c>
      <c r="M436" s="1">
        <v>-54847.99</v>
      </c>
      <c r="N436" s="1">
        <v>27408066.190000001</v>
      </c>
      <c r="O436" s="1">
        <v>103074.82</v>
      </c>
      <c r="P436" s="1">
        <v>27407309.59</v>
      </c>
      <c r="Q436">
        <v>756.6</v>
      </c>
      <c r="R436" s="1">
        <v>27402020.07</v>
      </c>
      <c r="S436" s="1">
        <v>5289.52</v>
      </c>
    </row>
    <row r="437" spans="1:19" x14ac:dyDescent="0.25">
      <c r="A437" s="3">
        <v>1005</v>
      </c>
      <c r="B437" s="4" t="s">
        <v>355</v>
      </c>
      <c r="C437" s="4" t="str">
        <f>"11"</f>
        <v>11</v>
      </c>
      <c r="D437" t="s">
        <v>68</v>
      </c>
      <c r="E437" s="3" t="str">
        <f>"111040000"</f>
        <v>111040000</v>
      </c>
      <c r="F437" t="s">
        <v>356</v>
      </c>
      <c r="G437" t="s">
        <v>357</v>
      </c>
      <c r="H437" t="s">
        <v>356</v>
      </c>
      <c r="I437">
        <v>6</v>
      </c>
      <c r="J437" t="s">
        <v>32</v>
      </c>
      <c r="K437" s="1">
        <v>200000</v>
      </c>
      <c r="L437" s="1">
        <v>198225</v>
      </c>
      <c r="M437" s="1">
        <v>-1775</v>
      </c>
      <c r="N437" s="1">
        <v>180390.21</v>
      </c>
      <c r="O437" s="1">
        <v>17834.79</v>
      </c>
      <c r="P437" s="1">
        <v>180390.21</v>
      </c>
      <c r="Q437">
        <v>0</v>
      </c>
      <c r="R437" s="1">
        <v>180390.21</v>
      </c>
      <c r="S437">
        <v>0</v>
      </c>
    </row>
    <row r="438" spans="1:19" x14ac:dyDescent="0.25">
      <c r="A438" s="3">
        <v>1005</v>
      </c>
      <c r="B438" s="4" t="s">
        <v>355</v>
      </c>
      <c r="C438" s="4" t="str">
        <f>"11"</f>
        <v>11</v>
      </c>
      <c r="D438" t="s">
        <v>68</v>
      </c>
      <c r="E438" s="3" t="str">
        <f>"111040000"</f>
        <v>111040000</v>
      </c>
      <c r="F438" t="s">
        <v>356</v>
      </c>
      <c r="G438" t="s">
        <v>357</v>
      </c>
      <c r="H438" t="s">
        <v>356</v>
      </c>
      <c r="I438">
        <v>8</v>
      </c>
      <c r="J438" t="s">
        <v>27</v>
      </c>
      <c r="K438" s="1">
        <v>31083</v>
      </c>
      <c r="L438" s="1">
        <v>31083</v>
      </c>
      <c r="M438">
        <v>0</v>
      </c>
      <c r="N438" s="1">
        <v>13384</v>
      </c>
      <c r="O438" s="1">
        <v>17699</v>
      </c>
      <c r="P438" s="1">
        <v>13384</v>
      </c>
      <c r="Q438">
        <v>0</v>
      </c>
      <c r="R438" s="1">
        <v>13384</v>
      </c>
      <c r="S438">
        <v>0</v>
      </c>
    </row>
    <row r="439" spans="1:19" x14ac:dyDescent="0.25">
      <c r="A439" s="3">
        <v>1008</v>
      </c>
      <c r="B439" s="4" t="s">
        <v>358</v>
      </c>
      <c r="C439" s="4" t="str">
        <f t="shared" ref="C439:C444" si="34">"20"</f>
        <v>20</v>
      </c>
      <c r="D439" t="s">
        <v>286</v>
      </c>
      <c r="E439" s="3" t="str">
        <f t="shared" ref="E439:E444" si="35">"201140000"</f>
        <v>201140000</v>
      </c>
      <c r="F439" t="s">
        <v>359</v>
      </c>
      <c r="G439" t="s">
        <v>291</v>
      </c>
      <c r="H439" t="s">
        <v>292</v>
      </c>
      <c r="I439">
        <v>1</v>
      </c>
      <c r="J439" t="s">
        <v>25</v>
      </c>
      <c r="K439" s="1">
        <v>8966424</v>
      </c>
      <c r="L439" s="1">
        <v>6767330.6200000001</v>
      </c>
      <c r="M439" s="1">
        <v>-2199093.38</v>
      </c>
      <c r="N439" s="1">
        <v>6752745.6600000001</v>
      </c>
      <c r="O439" s="1">
        <v>14584.96</v>
      </c>
      <c r="P439" s="1">
        <v>6752745.6600000001</v>
      </c>
      <c r="Q439">
        <v>0</v>
      </c>
      <c r="R439" s="1">
        <v>6752745.6600000001</v>
      </c>
      <c r="S439">
        <v>0</v>
      </c>
    </row>
    <row r="440" spans="1:19" x14ac:dyDescent="0.25">
      <c r="A440" s="3">
        <v>1008</v>
      </c>
      <c r="B440" s="4" t="s">
        <v>358</v>
      </c>
      <c r="C440" s="4" t="str">
        <f t="shared" si="34"/>
        <v>20</v>
      </c>
      <c r="D440" t="s">
        <v>286</v>
      </c>
      <c r="E440" s="3" t="str">
        <f t="shared" si="35"/>
        <v>201140000</v>
      </c>
      <c r="F440" t="s">
        <v>359</v>
      </c>
      <c r="G440" t="s">
        <v>291</v>
      </c>
      <c r="H440" t="s">
        <v>292</v>
      </c>
      <c r="I440">
        <v>2</v>
      </c>
      <c r="J440" t="s">
        <v>26</v>
      </c>
      <c r="K440" s="1">
        <v>4761239</v>
      </c>
      <c r="L440" s="1">
        <v>4856343.0599999996</v>
      </c>
      <c r="M440" s="1">
        <v>95104.06</v>
      </c>
      <c r="N440" s="1">
        <v>4561129.51</v>
      </c>
      <c r="O440" s="1">
        <v>295213.55</v>
      </c>
      <c r="P440" s="1">
        <v>4561129.51</v>
      </c>
      <c r="Q440">
        <v>0</v>
      </c>
      <c r="R440" s="1">
        <v>4431679.3899999997</v>
      </c>
      <c r="S440" s="1">
        <v>129450.12</v>
      </c>
    </row>
    <row r="441" spans="1:19" x14ac:dyDescent="0.25">
      <c r="A441" s="3">
        <v>1008</v>
      </c>
      <c r="B441" s="4" t="s">
        <v>358</v>
      </c>
      <c r="C441" s="4" t="str">
        <f t="shared" si="34"/>
        <v>20</v>
      </c>
      <c r="D441" t="s">
        <v>286</v>
      </c>
      <c r="E441" s="3" t="str">
        <f t="shared" si="35"/>
        <v>201140000</v>
      </c>
      <c r="F441" t="s">
        <v>359</v>
      </c>
      <c r="G441" t="s">
        <v>291</v>
      </c>
      <c r="H441" t="s">
        <v>292</v>
      </c>
      <c r="I441">
        <v>4</v>
      </c>
      <c r="J441" t="s">
        <v>36</v>
      </c>
      <c r="K441" s="1">
        <v>5220000</v>
      </c>
      <c r="L441" s="1">
        <v>6829672.3899999997</v>
      </c>
      <c r="M441" s="1">
        <v>1609672.39</v>
      </c>
      <c r="N441" s="1">
        <v>6829672.3899999997</v>
      </c>
      <c r="O441">
        <v>0</v>
      </c>
      <c r="P441" s="1">
        <v>6270744.1100000003</v>
      </c>
      <c r="Q441" s="1">
        <v>558928.28</v>
      </c>
      <c r="R441" s="1">
        <v>4588677.5199999996</v>
      </c>
      <c r="S441" s="1">
        <v>1682066.59</v>
      </c>
    </row>
    <row r="442" spans="1:19" x14ac:dyDescent="0.25">
      <c r="A442" s="3">
        <v>1008</v>
      </c>
      <c r="B442" s="4" t="s">
        <v>358</v>
      </c>
      <c r="C442" s="4" t="str">
        <f t="shared" si="34"/>
        <v>20</v>
      </c>
      <c r="D442" t="s">
        <v>286</v>
      </c>
      <c r="E442" s="3" t="str">
        <f t="shared" si="35"/>
        <v>201140000</v>
      </c>
      <c r="F442" t="s">
        <v>359</v>
      </c>
      <c r="G442" t="s">
        <v>291</v>
      </c>
      <c r="H442" t="s">
        <v>292</v>
      </c>
      <c r="I442">
        <v>6</v>
      </c>
      <c r="J442" t="s">
        <v>32</v>
      </c>
      <c r="K442" s="1">
        <v>309600</v>
      </c>
      <c r="L442" s="1">
        <v>85491.29</v>
      </c>
      <c r="M442" s="1">
        <v>-224108.71</v>
      </c>
      <c r="N442" s="1">
        <v>85491.29</v>
      </c>
      <c r="O442">
        <v>0</v>
      </c>
      <c r="P442" s="1">
        <v>85491.29</v>
      </c>
      <c r="Q442">
        <v>0</v>
      </c>
      <c r="R442" s="1">
        <v>85491.29</v>
      </c>
      <c r="S442">
        <v>0</v>
      </c>
    </row>
    <row r="443" spans="1:19" x14ac:dyDescent="0.25">
      <c r="A443" s="3">
        <v>1008</v>
      </c>
      <c r="B443" s="4" t="s">
        <v>358</v>
      </c>
      <c r="C443" s="4" t="str">
        <f t="shared" si="34"/>
        <v>20</v>
      </c>
      <c r="D443" t="s">
        <v>286</v>
      </c>
      <c r="E443" s="3" t="str">
        <f t="shared" si="35"/>
        <v>201140000</v>
      </c>
      <c r="F443" t="s">
        <v>359</v>
      </c>
      <c r="G443" t="s">
        <v>291</v>
      </c>
      <c r="H443" t="s">
        <v>292</v>
      </c>
      <c r="I443">
        <v>7</v>
      </c>
      <c r="J443" t="s">
        <v>40</v>
      </c>
      <c r="K443" s="1">
        <v>1500000</v>
      </c>
      <c r="L443" s="1">
        <v>1000000</v>
      </c>
      <c r="M443" s="1">
        <v>-500000</v>
      </c>
      <c r="N443" s="1">
        <v>1000000</v>
      </c>
      <c r="O443">
        <v>0</v>
      </c>
      <c r="P443" s="1">
        <v>1000000</v>
      </c>
      <c r="Q443">
        <v>0</v>
      </c>
      <c r="R443" s="1">
        <v>1000000</v>
      </c>
      <c r="S443">
        <v>0</v>
      </c>
    </row>
    <row r="444" spans="1:19" x14ac:dyDescent="0.25">
      <c r="A444" s="3">
        <v>1008</v>
      </c>
      <c r="B444" s="4" t="s">
        <v>358</v>
      </c>
      <c r="C444" s="4" t="str">
        <f t="shared" si="34"/>
        <v>20</v>
      </c>
      <c r="D444" t="s">
        <v>286</v>
      </c>
      <c r="E444" s="3" t="str">
        <f t="shared" si="35"/>
        <v>201140000</v>
      </c>
      <c r="F444" t="s">
        <v>359</v>
      </c>
      <c r="G444" t="s">
        <v>291</v>
      </c>
      <c r="H444" t="s">
        <v>292</v>
      </c>
      <c r="I444">
        <v>8</v>
      </c>
      <c r="J444" t="s">
        <v>27</v>
      </c>
      <c r="K444" s="1">
        <v>20722</v>
      </c>
      <c r="L444" s="1">
        <v>9216.6</v>
      </c>
      <c r="M444" s="1">
        <v>-11505.4</v>
      </c>
      <c r="N444" s="1">
        <v>9216.6</v>
      </c>
      <c r="O444">
        <v>0</v>
      </c>
      <c r="P444" s="1">
        <v>9216.6</v>
      </c>
      <c r="Q444">
        <v>0</v>
      </c>
      <c r="R444" s="1">
        <v>9216.6</v>
      </c>
      <c r="S444">
        <v>0</v>
      </c>
    </row>
    <row r="445" spans="1:19" x14ac:dyDescent="0.25">
      <c r="A445" s="3">
        <v>1009</v>
      </c>
      <c r="B445" s="4" t="s">
        <v>360</v>
      </c>
      <c r="C445" s="4" t="str">
        <f>"11"</f>
        <v>11</v>
      </c>
      <c r="D445" t="s">
        <v>68</v>
      </c>
      <c r="E445" s="3" t="str">
        <f>"111200000"</f>
        <v>111200000</v>
      </c>
      <c r="F445" t="s">
        <v>361</v>
      </c>
      <c r="G445" t="s">
        <v>362</v>
      </c>
      <c r="H445" t="s">
        <v>363</v>
      </c>
      <c r="I445">
        <v>1</v>
      </c>
      <c r="J445" t="s">
        <v>25</v>
      </c>
      <c r="K445" s="1">
        <v>12392066</v>
      </c>
      <c r="L445" s="1">
        <v>13421916.720000001</v>
      </c>
      <c r="M445" s="1">
        <v>1029850.72</v>
      </c>
      <c r="N445" s="1">
        <v>13421810.07</v>
      </c>
      <c r="O445">
        <v>106.65</v>
      </c>
      <c r="P445" s="1">
        <v>13421810.07</v>
      </c>
      <c r="Q445">
        <v>0</v>
      </c>
      <c r="R445" s="1">
        <v>13421705.76</v>
      </c>
      <c r="S445">
        <v>104.31</v>
      </c>
    </row>
    <row r="446" spans="1:19" x14ac:dyDescent="0.25">
      <c r="A446" s="3">
        <v>1009</v>
      </c>
      <c r="B446" s="4" t="s">
        <v>360</v>
      </c>
      <c r="C446" s="4" t="str">
        <f>"11"</f>
        <v>11</v>
      </c>
      <c r="D446" t="s">
        <v>68</v>
      </c>
      <c r="E446" s="3" t="str">
        <f>"111200000"</f>
        <v>111200000</v>
      </c>
      <c r="F446" t="s">
        <v>361</v>
      </c>
      <c r="G446" t="s">
        <v>362</v>
      </c>
      <c r="H446" t="s">
        <v>363</v>
      </c>
      <c r="I446">
        <v>2</v>
      </c>
      <c r="J446" t="s">
        <v>26</v>
      </c>
      <c r="K446" s="1">
        <v>4751391</v>
      </c>
      <c r="L446" s="1">
        <v>4904812.0599999996</v>
      </c>
      <c r="M446" s="1">
        <v>153421.06</v>
      </c>
      <c r="N446" s="1">
        <v>4862744.24</v>
      </c>
      <c r="O446" s="1">
        <v>42067.82</v>
      </c>
      <c r="P446" s="1">
        <v>4720154.12</v>
      </c>
      <c r="Q446" s="1">
        <v>142590.12</v>
      </c>
      <c r="R446" s="1">
        <v>4530604.49</v>
      </c>
      <c r="S446" s="1">
        <v>189549.63</v>
      </c>
    </row>
    <row r="447" spans="1:19" x14ac:dyDescent="0.25">
      <c r="A447" s="3">
        <v>1009</v>
      </c>
      <c r="B447" s="4" t="s">
        <v>360</v>
      </c>
      <c r="C447" s="4" t="str">
        <f>"11"</f>
        <v>11</v>
      </c>
      <c r="D447" t="s">
        <v>68</v>
      </c>
      <c r="E447" s="3" t="str">
        <f>"111200000"</f>
        <v>111200000</v>
      </c>
      <c r="F447" t="s">
        <v>361</v>
      </c>
      <c r="G447" t="s">
        <v>362</v>
      </c>
      <c r="H447" t="s">
        <v>363</v>
      </c>
      <c r="I447">
        <v>6</v>
      </c>
      <c r="J447" t="s">
        <v>32</v>
      </c>
      <c r="K447" s="1">
        <v>1597350</v>
      </c>
      <c r="L447" s="1">
        <v>1198012.52</v>
      </c>
      <c r="M447" s="1">
        <v>-399337.48</v>
      </c>
      <c r="N447" s="1">
        <v>694469.38</v>
      </c>
      <c r="O447" s="1">
        <v>503543.14</v>
      </c>
      <c r="P447" s="1">
        <v>690482.43</v>
      </c>
      <c r="Q447" s="1">
        <v>3986.95</v>
      </c>
      <c r="R447" s="1">
        <v>534429.52</v>
      </c>
      <c r="S447" s="1">
        <v>156052.91</v>
      </c>
    </row>
    <row r="448" spans="1:19" x14ac:dyDescent="0.25">
      <c r="A448" s="3">
        <v>1009</v>
      </c>
      <c r="B448" s="4" t="s">
        <v>360</v>
      </c>
      <c r="C448" s="4" t="str">
        <f>"11"</f>
        <v>11</v>
      </c>
      <c r="D448" t="s">
        <v>68</v>
      </c>
      <c r="E448" s="3" t="str">
        <f>"111200000"</f>
        <v>111200000</v>
      </c>
      <c r="F448" t="s">
        <v>361</v>
      </c>
      <c r="G448" t="s">
        <v>362</v>
      </c>
      <c r="H448" t="s">
        <v>363</v>
      </c>
      <c r="I448">
        <v>8</v>
      </c>
      <c r="J448" t="s">
        <v>27</v>
      </c>
      <c r="K448" s="1">
        <v>19000</v>
      </c>
      <c r="L448" s="1">
        <v>11000</v>
      </c>
      <c r="M448" s="1">
        <v>-8000</v>
      </c>
      <c r="N448" s="1">
        <v>11000</v>
      </c>
      <c r="O448">
        <v>0</v>
      </c>
      <c r="P448" s="1">
        <v>11000</v>
      </c>
      <c r="Q448">
        <v>0</v>
      </c>
      <c r="R448" s="1">
        <v>11000</v>
      </c>
      <c r="S448">
        <v>0</v>
      </c>
    </row>
    <row r="449" spans="1:19" x14ac:dyDescent="0.25">
      <c r="A449" s="3">
        <v>1011</v>
      </c>
      <c r="B449" s="4" t="s">
        <v>364</v>
      </c>
      <c r="C449" s="4" t="str">
        <f t="shared" ref="C449:C455" si="36">"14"</f>
        <v>14</v>
      </c>
      <c r="D449" t="s">
        <v>155</v>
      </c>
      <c r="E449" s="3" t="str">
        <f t="shared" ref="E449:E455" si="37">"142030000"</f>
        <v>142030000</v>
      </c>
      <c r="F449" t="s">
        <v>365</v>
      </c>
      <c r="G449" t="s">
        <v>366</v>
      </c>
      <c r="H449" t="s">
        <v>367</v>
      </c>
      <c r="I449">
        <v>1</v>
      </c>
      <c r="J449" t="s">
        <v>25</v>
      </c>
      <c r="K449" s="1">
        <v>9249493</v>
      </c>
      <c r="L449" s="1">
        <v>9043980.6899999995</v>
      </c>
      <c r="M449" s="1">
        <v>-205512.31</v>
      </c>
      <c r="N449" s="1">
        <v>7474714.5599999996</v>
      </c>
      <c r="O449" s="1">
        <v>1569266.13</v>
      </c>
      <c r="P449" s="1">
        <v>7474714.5599999996</v>
      </c>
      <c r="Q449">
        <v>0</v>
      </c>
      <c r="R449" s="1">
        <v>7474714.5599999996</v>
      </c>
      <c r="S449">
        <v>0</v>
      </c>
    </row>
    <row r="450" spans="1:19" x14ac:dyDescent="0.25">
      <c r="A450" s="3">
        <v>1011</v>
      </c>
      <c r="B450" s="4" t="s">
        <v>364</v>
      </c>
      <c r="C450" s="4" t="str">
        <f t="shared" si="36"/>
        <v>14</v>
      </c>
      <c r="D450" t="s">
        <v>155</v>
      </c>
      <c r="E450" s="3" t="str">
        <f t="shared" si="37"/>
        <v>142030000</v>
      </c>
      <c r="F450" t="s">
        <v>365</v>
      </c>
      <c r="G450" t="s">
        <v>366</v>
      </c>
      <c r="H450" t="s">
        <v>367</v>
      </c>
      <c r="I450">
        <v>2</v>
      </c>
      <c r="J450" t="s">
        <v>26</v>
      </c>
      <c r="K450" s="1">
        <v>8699366</v>
      </c>
      <c r="L450" s="1">
        <v>8386562.4699999997</v>
      </c>
      <c r="M450" s="1">
        <v>-312803.53000000003</v>
      </c>
      <c r="N450" s="1">
        <v>7892084.8700000001</v>
      </c>
      <c r="O450" s="1">
        <v>494477.6</v>
      </c>
      <c r="P450" s="1">
        <v>7735008.04</v>
      </c>
      <c r="Q450" s="1">
        <v>157076.82999999999</v>
      </c>
      <c r="R450" s="1">
        <v>6631139.4199999999</v>
      </c>
      <c r="S450" s="1">
        <v>1103868.6200000001</v>
      </c>
    </row>
    <row r="451" spans="1:19" x14ac:dyDescent="0.25">
      <c r="A451" s="3">
        <v>1011</v>
      </c>
      <c r="B451" s="4" t="s">
        <v>364</v>
      </c>
      <c r="C451" s="4" t="str">
        <f t="shared" si="36"/>
        <v>14</v>
      </c>
      <c r="D451" t="s">
        <v>155</v>
      </c>
      <c r="E451" s="3" t="str">
        <f t="shared" si="37"/>
        <v>142030000</v>
      </c>
      <c r="F451" t="s">
        <v>365</v>
      </c>
      <c r="G451" t="s">
        <v>366</v>
      </c>
      <c r="H451" t="s">
        <v>367</v>
      </c>
      <c r="I451">
        <v>3</v>
      </c>
      <c r="J451" t="s">
        <v>39</v>
      </c>
      <c r="K451" s="1">
        <v>300000</v>
      </c>
      <c r="L451">
        <v>0</v>
      </c>
      <c r="M451" s="1">
        <v>-300000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</row>
    <row r="452" spans="1:19" x14ac:dyDescent="0.25">
      <c r="A452" s="3">
        <v>1011</v>
      </c>
      <c r="B452" s="4" t="s">
        <v>364</v>
      </c>
      <c r="C452" s="4" t="str">
        <f t="shared" si="36"/>
        <v>14</v>
      </c>
      <c r="D452" t="s">
        <v>155</v>
      </c>
      <c r="E452" s="3" t="str">
        <f t="shared" si="37"/>
        <v>142030000</v>
      </c>
      <c r="F452" t="s">
        <v>365</v>
      </c>
      <c r="G452" t="s">
        <v>366</v>
      </c>
      <c r="H452" t="s">
        <v>367</v>
      </c>
      <c r="I452">
        <v>4</v>
      </c>
      <c r="J452" t="s">
        <v>36</v>
      </c>
      <c r="K452" s="1">
        <v>1589876190</v>
      </c>
      <c r="L452" s="1">
        <v>2139844987.52</v>
      </c>
      <c r="M452" s="1">
        <v>549968797.51999998</v>
      </c>
      <c r="N452" s="1">
        <v>2076344475.8599999</v>
      </c>
      <c r="O452" s="1">
        <v>63500511.659999996</v>
      </c>
      <c r="P452" s="1">
        <v>2076344475.8599999</v>
      </c>
      <c r="Q452">
        <v>0</v>
      </c>
      <c r="R452" s="1">
        <v>2075370852.0899999</v>
      </c>
      <c r="S452" s="1">
        <v>973623.77</v>
      </c>
    </row>
    <row r="453" spans="1:19" x14ac:dyDescent="0.25">
      <c r="A453" s="3">
        <v>1011</v>
      </c>
      <c r="B453" s="4" t="s">
        <v>364</v>
      </c>
      <c r="C453" s="4" t="str">
        <f t="shared" si="36"/>
        <v>14</v>
      </c>
      <c r="D453" t="s">
        <v>155</v>
      </c>
      <c r="E453" s="3" t="str">
        <f t="shared" si="37"/>
        <v>142030000</v>
      </c>
      <c r="F453" t="s">
        <v>365</v>
      </c>
      <c r="G453" t="s">
        <v>366</v>
      </c>
      <c r="H453" t="s">
        <v>367</v>
      </c>
      <c r="I453">
        <v>6</v>
      </c>
      <c r="J453" t="s">
        <v>32</v>
      </c>
      <c r="K453" s="1">
        <v>7329000</v>
      </c>
      <c r="L453" s="1">
        <v>6441803.5300000003</v>
      </c>
      <c r="M453" s="1">
        <v>-887196.47</v>
      </c>
      <c r="N453" s="1">
        <v>2735391.54</v>
      </c>
      <c r="O453" s="1">
        <v>3706411.99</v>
      </c>
      <c r="P453" s="1">
        <v>2725752.79</v>
      </c>
      <c r="Q453" s="1">
        <v>9638.75</v>
      </c>
      <c r="R453" s="1">
        <v>2590439.37</v>
      </c>
      <c r="S453" s="1">
        <v>135313.42000000001</v>
      </c>
    </row>
    <row r="454" spans="1:19" x14ac:dyDescent="0.25">
      <c r="A454" s="3">
        <v>1011</v>
      </c>
      <c r="B454" s="4" t="s">
        <v>364</v>
      </c>
      <c r="C454" s="4" t="str">
        <f t="shared" si="36"/>
        <v>14</v>
      </c>
      <c r="D454" t="s">
        <v>155</v>
      </c>
      <c r="E454" s="3" t="str">
        <f t="shared" si="37"/>
        <v>142030000</v>
      </c>
      <c r="F454" t="s">
        <v>365</v>
      </c>
      <c r="G454" t="s">
        <v>366</v>
      </c>
      <c r="H454" t="s">
        <v>367</v>
      </c>
      <c r="I454">
        <v>7</v>
      </c>
      <c r="J454" t="s">
        <v>40</v>
      </c>
      <c r="K454" s="1">
        <v>1625000</v>
      </c>
      <c r="L454">
        <v>0</v>
      </c>
      <c r="M454" s="1">
        <v>-1625000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</row>
    <row r="455" spans="1:19" x14ac:dyDescent="0.25">
      <c r="A455" s="3">
        <v>1011</v>
      </c>
      <c r="B455" s="4" t="s">
        <v>364</v>
      </c>
      <c r="C455" s="4" t="str">
        <f t="shared" si="36"/>
        <v>14</v>
      </c>
      <c r="D455" t="s">
        <v>155</v>
      </c>
      <c r="E455" s="3" t="str">
        <f t="shared" si="37"/>
        <v>142030000</v>
      </c>
      <c r="F455" t="s">
        <v>365</v>
      </c>
      <c r="G455" t="s">
        <v>366</v>
      </c>
      <c r="H455" t="s">
        <v>367</v>
      </c>
      <c r="I455">
        <v>8</v>
      </c>
      <c r="J455" t="s">
        <v>27</v>
      </c>
      <c r="K455" s="1">
        <v>15371</v>
      </c>
      <c r="L455" s="1">
        <v>15371</v>
      </c>
      <c r="M455">
        <v>0</v>
      </c>
      <c r="N455" s="1">
        <v>15371</v>
      </c>
      <c r="O455">
        <v>0</v>
      </c>
      <c r="P455" s="1">
        <v>15371</v>
      </c>
      <c r="Q455">
        <v>0</v>
      </c>
      <c r="R455" s="1">
        <v>4500</v>
      </c>
      <c r="S455" s="1">
        <v>10871</v>
      </c>
    </row>
    <row r="456" spans="1:19" x14ac:dyDescent="0.25">
      <c r="A456" s="3">
        <v>1012</v>
      </c>
      <c r="B456" s="4" t="s">
        <v>368</v>
      </c>
      <c r="C456" s="4" t="str">
        <f>"11"</f>
        <v>11</v>
      </c>
      <c r="D456" t="s">
        <v>68</v>
      </c>
      <c r="E456" s="3" t="str">
        <f>"112050000"</f>
        <v>112050000</v>
      </c>
      <c r="F456" t="s">
        <v>369</v>
      </c>
      <c r="G456" t="s">
        <v>370</v>
      </c>
      <c r="H456" t="s">
        <v>371</v>
      </c>
      <c r="I456">
        <v>1</v>
      </c>
      <c r="J456" t="s">
        <v>25</v>
      </c>
      <c r="K456" s="1">
        <v>5605648</v>
      </c>
      <c r="L456" s="1">
        <v>4409702.75</v>
      </c>
      <c r="M456" s="1">
        <v>-1195945.25</v>
      </c>
      <c r="N456" s="1">
        <v>4409695.63</v>
      </c>
      <c r="O456">
        <v>7.12</v>
      </c>
      <c r="P456" s="1">
        <v>4409695.63</v>
      </c>
      <c r="Q456">
        <v>0</v>
      </c>
      <c r="R456" s="1">
        <v>4409695.63</v>
      </c>
      <c r="S456">
        <v>0</v>
      </c>
    </row>
    <row r="457" spans="1:19" x14ac:dyDescent="0.25">
      <c r="A457" s="3">
        <v>1012</v>
      </c>
      <c r="B457" s="4" t="s">
        <v>368</v>
      </c>
      <c r="C457" s="4" t="str">
        <f>"11"</f>
        <v>11</v>
      </c>
      <c r="D457" t="s">
        <v>68</v>
      </c>
      <c r="E457" s="3" t="str">
        <f>"112050000"</f>
        <v>112050000</v>
      </c>
      <c r="F457" t="s">
        <v>369</v>
      </c>
      <c r="G457" t="s">
        <v>370</v>
      </c>
      <c r="H457" t="s">
        <v>371</v>
      </c>
      <c r="I457">
        <v>2</v>
      </c>
      <c r="J457" t="s">
        <v>26</v>
      </c>
      <c r="K457" s="1">
        <v>1363630</v>
      </c>
      <c r="L457" s="1">
        <v>1827528.35</v>
      </c>
      <c r="M457" s="1">
        <v>463898.35</v>
      </c>
      <c r="N457" s="1">
        <v>1820009.45</v>
      </c>
      <c r="O457" s="1">
        <v>7518.9</v>
      </c>
      <c r="P457" s="1">
        <v>1819408.65</v>
      </c>
      <c r="Q457">
        <v>600.79999999999995</v>
      </c>
      <c r="R457" s="1">
        <v>1755808.02</v>
      </c>
      <c r="S457" s="1">
        <v>63600.63</v>
      </c>
    </row>
    <row r="458" spans="1:19" x14ac:dyDescent="0.25">
      <c r="A458" s="3">
        <v>1012</v>
      </c>
      <c r="B458" s="4" t="s">
        <v>368</v>
      </c>
      <c r="C458" s="4" t="str">
        <f>"11"</f>
        <v>11</v>
      </c>
      <c r="D458" t="s">
        <v>68</v>
      </c>
      <c r="E458" s="3" t="str">
        <f>"112050000"</f>
        <v>112050000</v>
      </c>
      <c r="F458" t="s">
        <v>369</v>
      </c>
      <c r="G458" t="s">
        <v>370</v>
      </c>
      <c r="H458" t="s">
        <v>371</v>
      </c>
      <c r="I458">
        <v>6</v>
      </c>
      <c r="J458" t="s">
        <v>32</v>
      </c>
      <c r="K458" s="1">
        <v>676000</v>
      </c>
      <c r="L458" s="1">
        <v>138941.38</v>
      </c>
      <c r="M458" s="1">
        <v>-537058.62</v>
      </c>
      <c r="N458" s="1">
        <v>138941.38</v>
      </c>
      <c r="O458">
        <v>0</v>
      </c>
      <c r="P458" s="1">
        <v>117915.54</v>
      </c>
      <c r="Q458" s="1">
        <v>21025.84</v>
      </c>
      <c r="R458" s="1">
        <v>117915.54</v>
      </c>
      <c r="S458">
        <v>0</v>
      </c>
    </row>
    <row r="459" spans="1:19" x14ac:dyDescent="0.25">
      <c r="A459" s="3">
        <v>1012</v>
      </c>
      <c r="B459" s="4" t="s">
        <v>368</v>
      </c>
      <c r="C459" s="4" t="str">
        <f>"11"</f>
        <v>11</v>
      </c>
      <c r="D459" t="s">
        <v>68</v>
      </c>
      <c r="E459" s="3" t="str">
        <f>"112050000"</f>
        <v>112050000</v>
      </c>
      <c r="F459" t="s">
        <v>369</v>
      </c>
      <c r="G459" t="s">
        <v>370</v>
      </c>
      <c r="H459" t="s">
        <v>371</v>
      </c>
      <c r="I459">
        <v>8</v>
      </c>
      <c r="J459" t="s">
        <v>27</v>
      </c>
      <c r="K459" s="1">
        <v>15257</v>
      </c>
      <c r="L459" s="1">
        <v>1433</v>
      </c>
      <c r="M459" s="1">
        <v>-13824</v>
      </c>
      <c r="N459" s="1">
        <v>1433</v>
      </c>
      <c r="O459">
        <v>0</v>
      </c>
      <c r="P459" s="1">
        <v>1433</v>
      </c>
      <c r="Q459">
        <v>0</v>
      </c>
      <c r="R459" s="1">
        <v>1433</v>
      </c>
      <c r="S459">
        <v>0</v>
      </c>
    </row>
    <row r="460" spans="1:19" x14ac:dyDescent="0.25">
      <c r="A460" s="3">
        <v>1013</v>
      </c>
      <c r="B460" s="4" t="s">
        <v>372</v>
      </c>
      <c r="C460" s="4" t="str">
        <f t="shared" ref="C460:C470" si="38">"16"</f>
        <v>16</v>
      </c>
      <c r="D460" t="s">
        <v>207</v>
      </c>
      <c r="E460" s="3" t="str">
        <f>"162060000"</f>
        <v>162060000</v>
      </c>
      <c r="F460" t="s">
        <v>373</v>
      </c>
      <c r="G460" t="s">
        <v>374</v>
      </c>
      <c r="H460" t="s">
        <v>375</v>
      </c>
      <c r="I460">
        <v>1</v>
      </c>
      <c r="J460" t="s">
        <v>25</v>
      </c>
      <c r="K460" s="1">
        <v>12561174</v>
      </c>
      <c r="L460" s="1">
        <v>11265327.82</v>
      </c>
      <c r="M460" s="1">
        <v>-1295846.18</v>
      </c>
      <c r="N460" s="1">
        <v>11265317.98</v>
      </c>
      <c r="O460">
        <v>9.84</v>
      </c>
      <c r="P460" s="1">
        <v>11265317.98</v>
      </c>
      <c r="Q460">
        <v>0</v>
      </c>
      <c r="R460" s="1">
        <v>11265292.25</v>
      </c>
      <c r="S460">
        <v>25.73</v>
      </c>
    </row>
    <row r="461" spans="1:19" x14ac:dyDescent="0.25">
      <c r="A461" s="3">
        <v>1013</v>
      </c>
      <c r="B461" s="4" t="s">
        <v>372</v>
      </c>
      <c r="C461" s="4" t="str">
        <f t="shared" si="38"/>
        <v>16</v>
      </c>
      <c r="D461" t="s">
        <v>207</v>
      </c>
      <c r="E461" s="3" t="str">
        <f>"162060000"</f>
        <v>162060000</v>
      </c>
      <c r="F461" t="s">
        <v>373</v>
      </c>
      <c r="G461" t="s">
        <v>374</v>
      </c>
      <c r="H461" t="s">
        <v>375</v>
      </c>
      <c r="I461">
        <v>2</v>
      </c>
      <c r="J461" t="s">
        <v>26</v>
      </c>
      <c r="K461" s="1">
        <v>4980826</v>
      </c>
      <c r="L461" s="1">
        <v>5263983.87</v>
      </c>
      <c r="M461" s="1">
        <v>283157.87</v>
      </c>
      <c r="N461" s="1">
        <v>5190148.76</v>
      </c>
      <c r="O461" s="1">
        <v>73835.11</v>
      </c>
      <c r="P461" s="1">
        <v>5190148.76</v>
      </c>
      <c r="Q461">
        <v>0</v>
      </c>
      <c r="R461" s="1">
        <v>5114700.07</v>
      </c>
      <c r="S461" s="1">
        <v>75448.69</v>
      </c>
    </row>
    <row r="462" spans="1:19" x14ac:dyDescent="0.25">
      <c r="A462" s="3">
        <v>1013</v>
      </c>
      <c r="B462" s="4" t="s">
        <v>372</v>
      </c>
      <c r="C462" s="4" t="str">
        <f t="shared" si="38"/>
        <v>16</v>
      </c>
      <c r="D462" t="s">
        <v>207</v>
      </c>
      <c r="E462" s="3" t="str">
        <f>"162060000"</f>
        <v>162060000</v>
      </c>
      <c r="F462" t="s">
        <v>373</v>
      </c>
      <c r="G462" t="s">
        <v>374</v>
      </c>
      <c r="H462" t="s">
        <v>375</v>
      </c>
      <c r="I462">
        <v>4</v>
      </c>
      <c r="J462" t="s">
        <v>36</v>
      </c>
      <c r="K462" s="1">
        <v>777000</v>
      </c>
      <c r="L462" s="1">
        <v>740864.19</v>
      </c>
      <c r="M462" s="1">
        <v>-36135.81</v>
      </c>
      <c r="N462" s="1">
        <v>740863.37</v>
      </c>
      <c r="O462">
        <v>0.82</v>
      </c>
      <c r="P462" s="1">
        <v>740863.37</v>
      </c>
      <c r="Q462">
        <v>0</v>
      </c>
      <c r="R462" s="1">
        <v>566824.14</v>
      </c>
      <c r="S462" s="1">
        <v>174039.23</v>
      </c>
    </row>
    <row r="463" spans="1:19" x14ac:dyDescent="0.25">
      <c r="A463" s="3">
        <v>1013</v>
      </c>
      <c r="B463" s="4" t="s">
        <v>372</v>
      </c>
      <c r="C463" s="4" t="str">
        <f t="shared" si="38"/>
        <v>16</v>
      </c>
      <c r="D463" t="s">
        <v>207</v>
      </c>
      <c r="E463" s="3" t="str">
        <f>"162060000"</f>
        <v>162060000</v>
      </c>
      <c r="F463" t="s">
        <v>373</v>
      </c>
      <c r="G463" t="s">
        <v>374</v>
      </c>
      <c r="H463" t="s">
        <v>375</v>
      </c>
      <c r="I463">
        <v>6</v>
      </c>
      <c r="J463" t="s">
        <v>32</v>
      </c>
      <c r="K463" s="1">
        <v>6172468</v>
      </c>
      <c r="L463" s="1">
        <v>4773304.12</v>
      </c>
      <c r="M463" s="1">
        <v>-1399163.88</v>
      </c>
      <c r="N463" s="1">
        <v>4384800.5</v>
      </c>
      <c r="O463" s="1">
        <v>388503.62</v>
      </c>
      <c r="P463" s="1">
        <v>4384800.5</v>
      </c>
      <c r="Q463">
        <v>0</v>
      </c>
      <c r="R463" s="1">
        <v>4339832.82</v>
      </c>
      <c r="S463" s="1">
        <v>44967.68</v>
      </c>
    </row>
    <row r="464" spans="1:19" x14ac:dyDescent="0.25">
      <c r="A464" s="3">
        <v>1013</v>
      </c>
      <c r="B464" s="4" t="s">
        <v>372</v>
      </c>
      <c r="C464" s="4" t="str">
        <f t="shared" si="38"/>
        <v>16</v>
      </c>
      <c r="D464" t="s">
        <v>207</v>
      </c>
      <c r="E464" s="3" t="str">
        <f>"162060000"</f>
        <v>162060000</v>
      </c>
      <c r="F464" t="s">
        <v>373</v>
      </c>
      <c r="G464" t="s">
        <v>374</v>
      </c>
      <c r="H464" t="s">
        <v>375</v>
      </c>
      <c r="I464">
        <v>8</v>
      </c>
      <c r="J464" t="s">
        <v>27</v>
      </c>
      <c r="K464" s="1">
        <v>15000</v>
      </c>
      <c r="L464" s="1">
        <v>5000</v>
      </c>
      <c r="M464" s="1">
        <v>-10000</v>
      </c>
      <c r="N464" s="1">
        <v>5000</v>
      </c>
      <c r="O464">
        <v>0</v>
      </c>
      <c r="P464" s="1">
        <v>5000</v>
      </c>
      <c r="Q464">
        <v>0</v>
      </c>
      <c r="R464" s="1">
        <v>5000</v>
      </c>
      <c r="S464">
        <v>0</v>
      </c>
    </row>
    <row r="465" spans="1:19" x14ac:dyDescent="0.25">
      <c r="A465" s="3">
        <v>1014</v>
      </c>
      <c r="B465" s="4" t="s">
        <v>376</v>
      </c>
      <c r="C465" s="4" t="str">
        <f t="shared" si="38"/>
        <v>16</v>
      </c>
      <c r="D465" t="s">
        <v>207</v>
      </c>
      <c r="E465" s="3" t="str">
        <f t="shared" ref="E465:E470" si="39">"162020000"</f>
        <v>162020000</v>
      </c>
      <c r="F465" t="s">
        <v>377</v>
      </c>
      <c r="G465" t="s">
        <v>378</v>
      </c>
      <c r="H465" t="s">
        <v>379</v>
      </c>
      <c r="I465">
        <v>1</v>
      </c>
      <c r="J465" t="s">
        <v>25</v>
      </c>
      <c r="K465" s="1">
        <v>29151171</v>
      </c>
      <c r="L465" s="1">
        <v>24853580.699999999</v>
      </c>
      <c r="M465" s="1">
        <v>-4297590.3</v>
      </c>
      <c r="N465" s="1">
        <v>24849026.989999998</v>
      </c>
      <c r="O465" s="1">
        <v>4553.71</v>
      </c>
      <c r="P465" s="1">
        <v>24849026.989999998</v>
      </c>
      <c r="Q465">
        <v>0</v>
      </c>
      <c r="R465" s="1">
        <v>24849026.989999998</v>
      </c>
      <c r="S465">
        <v>0</v>
      </c>
    </row>
    <row r="466" spans="1:19" x14ac:dyDescent="0.25">
      <c r="A466" s="3">
        <v>1014</v>
      </c>
      <c r="B466" s="4" t="s">
        <v>376</v>
      </c>
      <c r="C466" s="4" t="str">
        <f t="shared" si="38"/>
        <v>16</v>
      </c>
      <c r="D466" t="s">
        <v>207</v>
      </c>
      <c r="E466" s="3" t="str">
        <f t="shared" si="39"/>
        <v>162020000</v>
      </c>
      <c r="F466" t="s">
        <v>377</v>
      </c>
      <c r="G466" t="s">
        <v>378</v>
      </c>
      <c r="H466" t="s">
        <v>379</v>
      </c>
      <c r="I466">
        <v>2</v>
      </c>
      <c r="J466" t="s">
        <v>26</v>
      </c>
      <c r="K466" s="1">
        <v>42866289</v>
      </c>
      <c r="L466" s="1">
        <v>57616038.030000001</v>
      </c>
      <c r="M466" s="1">
        <v>14749749.029999999</v>
      </c>
      <c r="N466" s="1">
        <v>55648149.780000001</v>
      </c>
      <c r="O466" s="1">
        <v>1967888.25</v>
      </c>
      <c r="P466" s="1">
        <v>55389408.549999997</v>
      </c>
      <c r="Q466" s="1">
        <v>258741.23</v>
      </c>
      <c r="R466" s="1">
        <v>48609567.020000003</v>
      </c>
      <c r="S466" s="1">
        <v>6779841.5300000003</v>
      </c>
    </row>
    <row r="467" spans="1:19" x14ac:dyDescent="0.25">
      <c r="A467" s="3">
        <v>1014</v>
      </c>
      <c r="B467" s="4" t="s">
        <v>376</v>
      </c>
      <c r="C467" s="4" t="str">
        <f t="shared" si="38"/>
        <v>16</v>
      </c>
      <c r="D467" t="s">
        <v>207</v>
      </c>
      <c r="E467" s="3" t="str">
        <f t="shared" si="39"/>
        <v>162020000</v>
      </c>
      <c r="F467" t="s">
        <v>377</v>
      </c>
      <c r="G467" t="s">
        <v>378</v>
      </c>
      <c r="H467" t="s">
        <v>379</v>
      </c>
      <c r="I467">
        <v>3</v>
      </c>
      <c r="J467" t="s">
        <v>39</v>
      </c>
      <c r="K467" s="1">
        <v>2703458</v>
      </c>
      <c r="L467" s="1">
        <v>3406406.67</v>
      </c>
      <c r="M467" s="1">
        <v>702948.67</v>
      </c>
      <c r="N467" s="1">
        <v>3362240.33</v>
      </c>
      <c r="O467" s="1">
        <v>44166.34</v>
      </c>
      <c r="P467" s="1">
        <v>3362240.33</v>
      </c>
      <c r="Q467">
        <v>0</v>
      </c>
      <c r="R467" s="1">
        <v>3362240.33</v>
      </c>
      <c r="S467">
        <v>0</v>
      </c>
    </row>
    <row r="468" spans="1:19" x14ac:dyDescent="0.25">
      <c r="A468" s="3">
        <v>1014</v>
      </c>
      <c r="B468" s="4" t="s">
        <v>376</v>
      </c>
      <c r="C468" s="4" t="str">
        <f t="shared" si="38"/>
        <v>16</v>
      </c>
      <c r="D468" t="s">
        <v>207</v>
      </c>
      <c r="E468" s="3" t="str">
        <f t="shared" si="39"/>
        <v>162020000</v>
      </c>
      <c r="F468" t="s">
        <v>377</v>
      </c>
      <c r="G468" t="s">
        <v>378</v>
      </c>
      <c r="H468" t="s">
        <v>379</v>
      </c>
      <c r="I468">
        <v>6</v>
      </c>
      <c r="J468" t="s">
        <v>32</v>
      </c>
      <c r="K468" s="1">
        <v>78146634</v>
      </c>
      <c r="L468" s="1">
        <v>51658796.299999997</v>
      </c>
      <c r="M468" s="1">
        <v>-26487837.699999999</v>
      </c>
      <c r="N468" s="1">
        <v>48241293.850000001</v>
      </c>
      <c r="O468" s="1">
        <v>3417502.45</v>
      </c>
      <c r="P468" s="1">
        <v>45247401.5</v>
      </c>
      <c r="Q468" s="1">
        <v>2993892.35</v>
      </c>
      <c r="R468" s="1">
        <v>36597076.149999999</v>
      </c>
      <c r="S468" s="1">
        <v>8650325.3499999996</v>
      </c>
    </row>
    <row r="469" spans="1:19" x14ac:dyDescent="0.25">
      <c r="A469" s="3">
        <v>1014</v>
      </c>
      <c r="B469" s="4" t="s">
        <v>376</v>
      </c>
      <c r="C469" s="4" t="str">
        <f t="shared" si="38"/>
        <v>16</v>
      </c>
      <c r="D469" t="s">
        <v>207</v>
      </c>
      <c r="E469" s="3" t="str">
        <f t="shared" si="39"/>
        <v>162020000</v>
      </c>
      <c r="F469" t="s">
        <v>377</v>
      </c>
      <c r="G469" t="s">
        <v>378</v>
      </c>
      <c r="H469" t="s">
        <v>379</v>
      </c>
      <c r="I469">
        <v>8</v>
      </c>
      <c r="J469" t="s">
        <v>27</v>
      </c>
      <c r="K469" s="1">
        <v>77081</v>
      </c>
      <c r="L469" s="1">
        <v>77081</v>
      </c>
      <c r="M469">
        <v>0</v>
      </c>
      <c r="N469" s="1">
        <v>19400</v>
      </c>
      <c r="O469" s="1">
        <v>57681</v>
      </c>
      <c r="P469" s="1">
        <v>19400</v>
      </c>
      <c r="Q469">
        <v>0</v>
      </c>
      <c r="R469" s="1">
        <v>19400</v>
      </c>
      <c r="S469">
        <v>0</v>
      </c>
    </row>
    <row r="470" spans="1:19" x14ac:dyDescent="0.25">
      <c r="A470" s="3">
        <v>1014</v>
      </c>
      <c r="B470" s="4" t="s">
        <v>376</v>
      </c>
      <c r="C470" s="4" t="str">
        <f t="shared" si="38"/>
        <v>16</v>
      </c>
      <c r="D470" t="s">
        <v>207</v>
      </c>
      <c r="E470" s="3" t="str">
        <f t="shared" si="39"/>
        <v>162020000</v>
      </c>
      <c r="F470" t="s">
        <v>377</v>
      </c>
      <c r="G470" t="s">
        <v>378</v>
      </c>
      <c r="H470" t="s">
        <v>379</v>
      </c>
      <c r="I470">
        <v>9</v>
      </c>
      <c r="J470" t="s">
        <v>299</v>
      </c>
      <c r="K470" s="1">
        <v>1030000</v>
      </c>
      <c r="L470" s="1">
        <v>1030000</v>
      </c>
      <c r="M470">
        <v>0</v>
      </c>
      <c r="N470" s="1">
        <v>1011811.06</v>
      </c>
      <c r="O470" s="1">
        <v>18188.939999999999</v>
      </c>
      <c r="P470" s="1">
        <v>1011811.06</v>
      </c>
      <c r="Q470">
        <v>0</v>
      </c>
      <c r="R470" s="1">
        <v>1011811.06</v>
      </c>
      <c r="S470">
        <v>0</v>
      </c>
    </row>
    <row r="471" spans="1:19" x14ac:dyDescent="0.25">
      <c r="A471" s="3" t="s">
        <v>380</v>
      </c>
      <c r="B471" s="4" t="s">
        <v>381</v>
      </c>
      <c r="C471" s="4" t="str">
        <f>"01"</f>
        <v>01</v>
      </c>
      <c r="D471" t="s">
        <v>381</v>
      </c>
      <c r="E471" s="3" t="str">
        <f>"010010000"</f>
        <v>010010000</v>
      </c>
      <c r="F471" t="s">
        <v>381</v>
      </c>
      <c r="G471" t="s">
        <v>382</v>
      </c>
      <c r="H471" t="s">
        <v>383</v>
      </c>
      <c r="I471">
        <v>1</v>
      </c>
      <c r="J471" t="s">
        <v>25</v>
      </c>
      <c r="K471" s="1">
        <v>24391752</v>
      </c>
      <c r="L471" s="1">
        <v>24586152</v>
      </c>
      <c r="M471" s="1">
        <v>194400</v>
      </c>
      <c r="N471" s="1">
        <v>22805818.300000001</v>
      </c>
      <c r="O471" s="1">
        <v>1780333.7</v>
      </c>
      <c r="P471" s="1">
        <v>22805818.300000001</v>
      </c>
      <c r="Q471">
        <v>0</v>
      </c>
      <c r="R471" s="1">
        <v>22805818.300000001</v>
      </c>
      <c r="S471">
        <v>0</v>
      </c>
    </row>
    <row r="472" spans="1:19" x14ac:dyDescent="0.25">
      <c r="A472" s="3" t="s">
        <v>380</v>
      </c>
      <c r="B472" s="4" t="s">
        <v>381</v>
      </c>
      <c r="C472" s="4" t="str">
        <f>"01"</f>
        <v>01</v>
      </c>
      <c r="D472" t="s">
        <v>381</v>
      </c>
      <c r="E472" s="3" t="str">
        <f>"010010000"</f>
        <v>010010000</v>
      </c>
      <c r="F472" t="s">
        <v>381</v>
      </c>
      <c r="G472" t="s">
        <v>382</v>
      </c>
      <c r="H472" t="s">
        <v>383</v>
      </c>
      <c r="I472">
        <v>2</v>
      </c>
      <c r="J472" t="s">
        <v>26</v>
      </c>
      <c r="K472" s="1">
        <v>8777400</v>
      </c>
      <c r="L472" s="1">
        <v>8837100</v>
      </c>
      <c r="M472" s="1">
        <v>59700</v>
      </c>
      <c r="N472" s="1">
        <v>6811172.5300000003</v>
      </c>
      <c r="O472" s="1">
        <v>2025927.47</v>
      </c>
      <c r="P472" s="1">
        <v>6785207.9299999997</v>
      </c>
      <c r="Q472" s="1">
        <v>25964.6</v>
      </c>
      <c r="R472" s="1">
        <v>5537485.9199999999</v>
      </c>
      <c r="S472" s="1">
        <v>1247722.01</v>
      </c>
    </row>
    <row r="473" spans="1:19" x14ac:dyDescent="0.25">
      <c r="A473" s="3" t="s">
        <v>380</v>
      </c>
      <c r="B473" s="4" t="s">
        <v>381</v>
      </c>
      <c r="C473" s="4" t="str">
        <f>"01"</f>
        <v>01</v>
      </c>
      <c r="D473" t="s">
        <v>381</v>
      </c>
      <c r="E473" s="3" t="str">
        <f>"010010000"</f>
        <v>010010000</v>
      </c>
      <c r="F473" t="s">
        <v>381</v>
      </c>
      <c r="G473" t="s">
        <v>382</v>
      </c>
      <c r="H473" t="s">
        <v>383</v>
      </c>
      <c r="I473">
        <v>4</v>
      </c>
      <c r="J473" t="s">
        <v>36</v>
      </c>
      <c r="K473" s="1">
        <v>4871500</v>
      </c>
      <c r="L473" s="1">
        <v>4871500</v>
      </c>
      <c r="M473">
        <v>0</v>
      </c>
      <c r="N473" s="1">
        <v>4541418.76</v>
      </c>
      <c r="O473" s="1">
        <v>330081.24</v>
      </c>
      <c r="P473" s="1">
        <v>4541418.76</v>
      </c>
      <c r="Q473">
        <v>0</v>
      </c>
      <c r="R473" s="1">
        <v>4541418.76</v>
      </c>
      <c r="S473">
        <v>0</v>
      </c>
    </row>
    <row r="474" spans="1:19" x14ac:dyDescent="0.25">
      <c r="A474" s="3" t="s">
        <v>380</v>
      </c>
      <c r="B474" s="4" t="s">
        <v>381</v>
      </c>
      <c r="C474" s="4" t="str">
        <f>"01"</f>
        <v>01</v>
      </c>
      <c r="D474" t="s">
        <v>381</v>
      </c>
      <c r="E474" s="3" t="str">
        <f>"010010000"</f>
        <v>010010000</v>
      </c>
      <c r="F474" t="s">
        <v>381</v>
      </c>
      <c r="G474" t="s">
        <v>382</v>
      </c>
      <c r="H474" t="s">
        <v>383</v>
      </c>
      <c r="I474">
        <v>6</v>
      </c>
      <c r="J474" t="s">
        <v>32</v>
      </c>
      <c r="K474" s="1">
        <v>1343900</v>
      </c>
      <c r="L474" s="1">
        <v>29780446.100000001</v>
      </c>
      <c r="M474" s="1">
        <v>28436546.100000001</v>
      </c>
      <c r="N474" s="1">
        <v>1065503.9099999999</v>
      </c>
      <c r="O474" s="1">
        <v>28714942.190000001</v>
      </c>
      <c r="P474" s="1">
        <v>1065503.9099999999</v>
      </c>
      <c r="Q474">
        <v>0</v>
      </c>
      <c r="R474" s="1">
        <v>965971.96</v>
      </c>
      <c r="S474" s="1">
        <v>99531.95</v>
      </c>
    </row>
    <row r="475" spans="1:19" x14ac:dyDescent="0.25">
      <c r="A475" s="3" t="s">
        <v>380</v>
      </c>
      <c r="B475" s="4" t="s">
        <v>381</v>
      </c>
      <c r="C475" s="4" t="str">
        <f>"01"</f>
        <v>01</v>
      </c>
      <c r="D475" t="s">
        <v>381</v>
      </c>
      <c r="E475" s="3" t="str">
        <f>"010010000"</f>
        <v>010010000</v>
      </c>
      <c r="F475" t="s">
        <v>381</v>
      </c>
      <c r="G475" t="s">
        <v>382</v>
      </c>
      <c r="H475" t="s">
        <v>383</v>
      </c>
      <c r="I475">
        <v>8</v>
      </c>
      <c r="J475" t="s">
        <v>27</v>
      </c>
      <c r="K475" s="1">
        <v>99000</v>
      </c>
      <c r="L475" s="1">
        <v>99000</v>
      </c>
      <c r="M475">
        <v>0</v>
      </c>
      <c r="N475" s="1">
        <v>58996.88</v>
      </c>
      <c r="O475" s="1">
        <v>40003.120000000003</v>
      </c>
      <c r="P475" s="1">
        <v>58996.88</v>
      </c>
      <c r="Q475">
        <v>0</v>
      </c>
      <c r="R475" s="1">
        <v>58996.88</v>
      </c>
      <c r="S475">
        <v>0</v>
      </c>
    </row>
    <row r="476" spans="1:19" x14ac:dyDescent="0.25">
      <c r="A476" s="3" t="s">
        <v>384</v>
      </c>
      <c r="B476" s="4" t="s">
        <v>385</v>
      </c>
      <c r="C476" s="4" t="str">
        <f>"02"</f>
        <v>02</v>
      </c>
      <c r="D476" t="s">
        <v>386</v>
      </c>
      <c r="E476" s="3" t="str">
        <f>"020010000"</f>
        <v>020010000</v>
      </c>
      <c r="F476" t="s">
        <v>386</v>
      </c>
      <c r="G476" t="s">
        <v>387</v>
      </c>
      <c r="H476" t="s">
        <v>388</v>
      </c>
      <c r="I476">
        <v>1</v>
      </c>
      <c r="J476" t="s">
        <v>25</v>
      </c>
      <c r="K476" s="1">
        <v>7419929</v>
      </c>
      <c r="L476" s="1">
        <v>7304571.04</v>
      </c>
      <c r="M476" s="1">
        <v>-115357.96</v>
      </c>
      <c r="N476" s="1">
        <v>6372507.8200000003</v>
      </c>
      <c r="O476" s="1">
        <v>932063.22</v>
      </c>
      <c r="P476" s="1">
        <v>6372507.8200000003</v>
      </c>
      <c r="Q476">
        <v>0</v>
      </c>
      <c r="R476" s="1">
        <v>6372507.8200000003</v>
      </c>
      <c r="S476">
        <v>0</v>
      </c>
    </row>
    <row r="477" spans="1:19" x14ac:dyDescent="0.25">
      <c r="A477" s="3" t="s">
        <v>384</v>
      </c>
      <c r="B477" s="4" t="s">
        <v>385</v>
      </c>
      <c r="C477" s="4" t="str">
        <f>"02"</f>
        <v>02</v>
      </c>
      <c r="D477" t="s">
        <v>386</v>
      </c>
      <c r="E477" s="3" t="str">
        <f>"020010000"</f>
        <v>020010000</v>
      </c>
      <c r="F477" t="s">
        <v>386</v>
      </c>
      <c r="G477" t="s">
        <v>387</v>
      </c>
      <c r="H477" t="s">
        <v>388</v>
      </c>
      <c r="I477">
        <v>2</v>
      </c>
      <c r="J477" t="s">
        <v>26</v>
      </c>
      <c r="K477" s="1">
        <v>1677350</v>
      </c>
      <c r="L477" s="1">
        <v>1778265.21</v>
      </c>
      <c r="M477" s="1">
        <v>100915.21</v>
      </c>
      <c r="N477" s="1">
        <v>1666572.04</v>
      </c>
      <c r="O477" s="1">
        <v>111693.17</v>
      </c>
      <c r="P477" s="1">
        <v>1666572.04</v>
      </c>
      <c r="Q477">
        <v>0</v>
      </c>
      <c r="R477" s="1">
        <v>1666479.13</v>
      </c>
      <c r="S477">
        <v>92.91</v>
      </c>
    </row>
    <row r="478" spans="1:19" x14ac:dyDescent="0.25">
      <c r="A478" s="3" t="s">
        <v>384</v>
      </c>
      <c r="B478" s="4" t="s">
        <v>385</v>
      </c>
      <c r="C478" s="4" t="str">
        <f>"02"</f>
        <v>02</v>
      </c>
      <c r="D478" t="s">
        <v>386</v>
      </c>
      <c r="E478" s="3" t="str">
        <f>"020010000"</f>
        <v>020010000</v>
      </c>
      <c r="F478" t="s">
        <v>386</v>
      </c>
      <c r="G478" t="s">
        <v>387</v>
      </c>
      <c r="H478" t="s">
        <v>388</v>
      </c>
      <c r="I478">
        <v>4</v>
      </c>
      <c r="J478" t="s">
        <v>36</v>
      </c>
      <c r="K478" s="1">
        <v>10000</v>
      </c>
      <c r="L478" s="1">
        <v>10000</v>
      </c>
      <c r="M478">
        <v>0</v>
      </c>
      <c r="N478" s="1">
        <v>8562.4</v>
      </c>
      <c r="O478" s="1">
        <v>1437.6</v>
      </c>
      <c r="P478" s="1">
        <v>8562.4</v>
      </c>
      <c r="Q478">
        <v>0</v>
      </c>
      <c r="R478" s="1">
        <v>8562.4</v>
      </c>
      <c r="S478">
        <v>0</v>
      </c>
    </row>
    <row r="479" spans="1:19" x14ac:dyDescent="0.25">
      <c r="A479" s="3" t="s">
        <v>384</v>
      </c>
      <c r="B479" s="4" t="s">
        <v>385</v>
      </c>
      <c r="C479" s="4" t="str">
        <f>"02"</f>
        <v>02</v>
      </c>
      <c r="D479" t="s">
        <v>386</v>
      </c>
      <c r="E479" s="3" t="str">
        <f>"020010000"</f>
        <v>020010000</v>
      </c>
      <c r="F479" t="s">
        <v>386</v>
      </c>
      <c r="G479" t="s">
        <v>387</v>
      </c>
      <c r="H479" t="s">
        <v>388</v>
      </c>
      <c r="I479">
        <v>6</v>
      </c>
      <c r="J479" t="s">
        <v>32</v>
      </c>
      <c r="K479" s="1">
        <v>23000</v>
      </c>
      <c r="L479" s="1">
        <v>37442.75</v>
      </c>
      <c r="M479" s="1">
        <v>14442.75</v>
      </c>
      <c r="N479" s="1">
        <v>13483.54</v>
      </c>
      <c r="O479" s="1">
        <v>23959.21</v>
      </c>
      <c r="P479" s="1">
        <v>13483.54</v>
      </c>
      <c r="Q479">
        <v>0</v>
      </c>
      <c r="R479" s="1">
        <v>13483.54</v>
      </c>
      <c r="S479">
        <v>0</v>
      </c>
    </row>
    <row r="480" spans="1:19" x14ac:dyDescent="0.25">
      <c r="A480" s="3" t="s">
        <v>384</v>
      </c>
      <c r="B480" s="4" t="s">
        <v>385</v>
      </c>
      <c r="C480" s="4" t="str">
        <f>"02"</f>
        <v>02</v>
      </c>
      <c r="D480" t="s">
        <v>386</v>
      </c>
      <c r="E480" s="3" t="str">
        <f>"020010000"</f>
        <v>020010000</v>
      </c>
      <c r="F480" t="s">
        <v>386</v>
      </c>
      <c r="G480" t="s">
        <v>387</v>
      </c>
      <c r="H480" t="s">
        <v>388</v>
      </c>
      <c r="I480">
        <v>8</v>
      </c>
      <c r="J480" t="s">
        <v>27</v>
      </c>
      <c r="K480" s="1">
        <v>21600</v>
      </c>
      <c r="L480" s="1">
        <v>21600</v>
      </c>
      <c r="M480">
        <v>0</v>
      </c>
      <c r="N480" s="1">
        <v>9950</v>
      </c>
      <c r="O480" s="1">
        <v>11650</v>
      </c>
      <c r="P480" s="1">
        <v>9950</v>
      </c>
      <c r="Q480">
        <v>0</v>
      </c>
      <c r="R480" s="1">
        <v>9950</v>
      </c>
      <c r="S480">
        <v>0</v>
      </c>
    </row>
    <row r="481" spans="11:19" x14ac:dyDescent="0.25">
      <c r="K481" s="2">
        <f>SUM(K5:K480)</f>
        <v>19257191981</v>
      </c>
      <c r="L481" s="2">
        <f t="shared" ref="L481:S481" si="40">SUM(L5:L480)</f>
        <v>19770093217.599976</v>
      </c>
      <c r="M481" s="2">
        <f t="shared" si="40"/>
        <v>512901236.6000002</v>
      </c>
      <c r="N481" s="2">
        <f t="shared" si="40"/>
        <v>19049486425.640011</v>
      </c>
      <c r="O481" s="2">
        <f t="shared" si="40"/>
        <v>720606791.96000004</v>
      </c>
      <c r="P481" s="2">
        <f t="shared" si="40"/>
        <v>18884044576.950008</v>
      </c>
      <c r="Q481" s="2">
        <f t="shared" si="40"/>
        <v>165441848.68999994</v>
      </c>
      <c r="R481" s="2">
        <f t="shared" si="40"/>
        <v>18082564741.529995</v>
      </c>
      <c r="S481" s="2">
        <f t="shared" si="40"/>
        <v>801479835.42000043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G-CAPÍTULO-M12-2023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ICM</cp:lastModifiedBy>
  <dcterms:created xsi:type="dcterms:W3CDTF">2024-01-23T11:02:29Z</dcterms:created>
  <dcterms:modified xsi:type="dcterms:W3CDTF">2024-02-09T08:54:37Z</dcterms:modified>
</cp:coreProperties>
</file>