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bp\obp\MAUDE017\GRP\SGPV\EDIFICATORIA\PRTR_NextG\WEB-Comunicacion_FAQ\03 Guias y Herramientas\"/>
    </mc:Choice>
  </mc:AlternateContent>
  <bookViews>
    <workbookView xWindow="0" yWindow="0" windowWidth="28800" windowHeight="12435"/>
  </bookViews>
  <sheets>
    <sheet name="Cálculo subvención P3" sheetId="1" r:id="rId1"/>
    <sheet name="Vulnerabilidad" sheetId="2" state="hidden" r:id="rId2"/>
    <sheet name="Cálculo subvención P5" sheetId="4" state="hidden" r:id="rId3"/>
    <sheet name="Zona_climatica" sheetId="3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3" i="2" l="1"/>
  <c r="C14" i="2"/>
  <c r="E42" i="1" l="1"/>
  <c r="E15" i="1"/>
  <c r="E21" i="1" s="1"/>
  <c r="C42" i="4" l="1"/>
  <c r="D37" i="4"/>
  <c r="F32" i="4"/>
  <c r="H29" i="4"/>
  <c r="D27" i="4"/>
  <c r="H38" i="4" s="1"/>
  <c r="C27" i="4"/>
  <c r="F25" i="4"/>
  <c r="D15" i="4"/>
  <c r="D21" i="4" s="1"/>
  <c r="H32" i="4" l="1"/>
  <c r="H36" i="4"/>
  <c r="G25" i="1"/>
  <c r="D33" i="4" l="1"/>
  <c r="D42" i="4"/>
  <c r="D44" i="4" s="1"/>
  <c r="F26" i="4"/>
  <c r="F29" i="4" s="1"/>
  <c r="I28" i="2" l="1"/>
  <c r="G28" i="2"/>
  <c r="I27" i="2"/>
  <c r="G27" i="2"/>
  <c r="I26" i="2"/>
  <c r="G26" i="2"/>
  <c r="G23" i="2"/>
  <c r="I25" i="2" s="1"/>
  <c r="G18" i="2"/>
  <c r="G30" i="2" s="1"/>
  <c r="I29" i="1"/>
  <c r="G32" i="1"/>
  <c r="G25" i="2" l="1"/>
  <c r="I32" i="1"/>
  <c r="E33" i="1" s="1"/>
  <c r="F25" i="2"/>
  <c r="F27" i="2"/>
  <c r="F26" i="2"/>
  <c r="E27" i="1"/>
  <c r="I38" i="1" l="1"/>
  <c r="I36" i="1"/>
  <c r="G26" i="1"/>
  <c r="G29" i="1" s="1"/>
  <c r="C46" i="1"/>
  <c r="E37" i="1" l="1"/>
  <c r="E46" i="1" s="1"/>
  <c r="D25" i="2"/>
  <c r="D28" i="2" s="1"/>
  <c r="E48" i="1" l="1"/>
  <c r="D30" i="2" l="1"/>
</calcChain>
</file>

<file path=xl/comments1.xml><?xml version="1.0" encoding="utf-8"?>
<comments xmlns="http://schemas.openxmlformats.org/spreadsheetml/2006/main">
  <authors>
    <author>Jorge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Costes subvencionables: </t>
        </r>
        <r>
          <rPr>
            <sz val="9"/>
            <color indexed="81"/>
            <rFont val="Tahoma"/>
            <family val="2"/>
          </rPr>
          <t xml:space="preserve">Se podrán incluir como costes subvencionables todas las actuaciones que se lleven a cabo desde un enfoque integral, de modo que la mejora de la eficiencia energética y la integración de fuentes de energía renovable se acompañe de una mejora de la accesibilidad, conservación, mejora de la seguridad de utilización y digitalización de los edificios, siempre y cuando en la intervención se cumplan los requisitos establecidos en el artículo 33 del real decreto 853/2021, de 5 de octubre, para poder ser considerada como actuación subvencionable dentro del Programa de ayuda a las actuaciones de rehabilitación a nivel de edificio. 
En el importe objeto de subvención podrán considerarse subvencionables los costes de gestión inherentes al desarrollo de las actuaciones y los gastos asociados, los honorarios de los profesionales intervinientes en la gestión y desarrollo de las actuaciones, el coste de la redacción de los proyectos, informes técnicos y certificados necesarios, los gastos derivados de la tramitación administrativa, y otros gastos generales similares, siempre que todos ellos estén debidamente justificados con el límite que corresponda según lo previsto en este artículo. No se consideran costes subvencionables los correspondientes a licencias, tasas, impuestos o tributos. No obstante, el IVA o el impuesto indirecto equivalente, podrán ser considerados elegibles siempre y cuando no puedan ser susceptibles de recuperación o compensación total o parcial. 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 xml:space="preserve">Incremento por retirada de amianto: 
</t>
        </r>
        <r>
          <rPr>
            <sz val="9"/>
            <color indexed="81"/>
            <rFont val="Tahoma"/>
            <family val="2"/>
          </rPr>
          <t>En aquellos casos en los que haya que proceder a la retirada de elementos con amianto, podrá incrementarse la cuantía máxima de la ayuda en la cantidad correspondiente a los costes debidos a la retirada, la manipulación, el transporte y la gestión de los residuos de amianto mediante empresas autorizadas, hasta un máximo de 1.000 euros por vivienda o 12.000 euros por edificio objeto de rehabilitación.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La retirada deberá realizarse conforme a lo establecido en el Real Decreto 396/2006, de 31 de marzo, por el que se establecen las disposiciones mínimas de seguridad y salud aplicables a los trabajos con riesgo de exposición al amianto, por una empresa legalmente autorizada. La gestión de los residuos originados en el proceso deberá realizarse conforme a lo establecido en el Real Decreto 105/2008, de 1 de febrero, por el que se regula la producción y gestión de los residuos de construcción y demolición.
</t>
        </r>
        <r>
          <rPr>
            <b/>
            <sz val="9"/>
            <color indexed="81"/>
            <rFont val="Tahoma"/>
            <family val="2"/>
          </rPr>
          <t>Documentación a aportar:</t>
        </r>
        <r>
          <rPr>
            <sz val="9"/>
            <color indexed="81"/>
            <rFont val="Tahoma"/>
            <family val="2"/>
          </rPr>
          <t xml:space="preserve">
Declaración Responsable del cumplimiento de Retirar del edificio o del ámbito objeto de la actuación aquellos productos de construcción que contengan amianto (Solo en los elementos en los que se actúa), firmada por el destinatario último o su representante legal. (Anexo XI).
Resolución de autorización del Plan de Trabajo con riesgo de amianto y certificado expedido por las instalaciones receptoras de los residuos en el cual quede acreditada la cantidad de residuos recibida y la identificación de la obra de la que proceden los mismos.</t>
        </r>
      </text>
    </comment>
  </commentList>
</comments>
</file>

<file path=xl/comments2.xml><?xml version="1.0" encoding="utf-8"?>
<comments xmlns="http://schemas.openxmlformats.org/spreadsheetml/2006/main">
  <authors>
    <author>Jorge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Costes subvencionables: </t>
        </r>
        <r>
          <rPr>
            <sz val="9"/>
            <color indexed="81"/>
            <rFont val="Tahoma"/>
            <family val="2"/>
          </rPr>
          <t xml:space="preserve">Se podrán incluir como costes subvencionables todas las actuaciones que se lleven a cabo desde un enfoque integral, de modo que la mejora de la eficiencia energética y la integración de fuentes de energía renovable se acompañe de una mejora de la accesibilidad, conservación, mejora de la seguridad de utilización y digitalización de los edificios, siempre y cuando en la intervención se cumplan los requisitos establecidos en el artículo 33 del real decreto 853/2021, de 5 de octubre, para poder ser considerada como actuación subvencionable dentro del Programa de ayuda a las actuaciones de rehabilitación a nivel de edificio. 
En el importe objeto de subvención podrán considerarse subvencionables los costes de gestión inherentes al desarrollo de las actuaciones y los gastos asociados, los honorarios de los profesionales intervinientes en la gestión y desarrollo de las actuaciones, el coste de la redacción de los proyectos, informes técnicos y certificados necesarios, los gastos derivados de la tramitación administrativa, y otros gastos generales similares, siempre que todos ellos estén debidamente justificados con el límite que corresponda según lo previsto en este artículo. No se consideran costes subvencionables los correspondientes a licencias, tasas, impuestos o tributos. No obstante, el IVA o el impuesto indirecto equivalente, podrán ser considerados elegibles siempre y cuando no puedan ser susceptibles de recuperación o compensación total o parcial. 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 xml:space="preserve">Incremento por retirada de amianto: 
</t>
        </r>
        <r>
          <rPr>
            <sz val="9"/>
            <color indexed="81"/>
            <rFont val="Tahoma"/>
            <family val="2"/>
          </rPr>
          <t>En aquellos casos en los que haya que proceder a la retirada de elementos con amianto, podrá incrementarse la cuantía máxima de la ayuda en la cantidad correspondiente a los costes debidos a la retirada, la manipulación, el transporte y la gestión de los residuos de amianto mediante empresas autorizadas, hasta un máximo de 1.000 euros por vivienda o 12.000 euros por edificio objeto de rehabilitación.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La retirada deberá realizarse conforme a lo establecido en el Real Decreto 396/2006, de 31 de marzo, por el que se establecen las disposiciones mínimas de seguridad y salud aplicables a los trabajos con riesgo de exposición al amianto, por una empresa legalmente autorizada. La gestión de los residuos originados en el proceso deberá realizarse conforme a lo establecido en el Real Decreto 105/2008, de 1 de febrero, por el que se regula la producción y gestión de los residuos de construcción y demolición.
</t>
        </r>
        <r>
          <rPr>
            <b/>
            <sz val="9"/>
            <color indexed="81"/>
            <rFont val="Tahoma"/>
            <family val="2"/>
          </rPr>
          <t>Documentación a aportar:</t>
        </r>
        <r>
          <rPr>
            <sz val="9"/>
            <color indexed="81"/>
            <rFont val="Tahoma"/>
            <family val="2"/>
          </rPr>
          <t xml:space="preserve">
Declaración Responsable del cumplimiento de Retirar del edificio o del ámbito objeto de la actuación aquellos productos de construcción que contengan amianto (Solo en los elementos en los que se actúa), firmada por el destinatario último o su representante legal. (Anexo XI).
Resolución de autorización del Plan de Trabajo con riesgo de amianto y certificado expedido por las instalaciones receptoras de los residuos en el cual quede acreditada la cantidad de residuos recibida y la identificación de la obra de la que proceden los mismos.</t>
        </r>
      </text>
    </comment>
  </commentList>
</comments>
</file>

<file path=xl/sharedStrings.xml><?xml version="1.0" encoding="utf-8"?>
<sst xmlns="http://schemas.openxmlformats.org/spreadsheetml/2006/main" count="506" uniqueCount="260">
  <si>
    <t>ERRP</t>
  </si>
  <si>
    <t>Ahorro energético conseguido con la actuación</t>
  </si>
  <si>
    <t>Porcentaje máximo de la subvención del coste de la actuación</t>
  </si>
  <si>
    <t>Dirección</t>
  </si>
  <si>
    <t>No hay ahorro energético</t>
  </si>
  <si>
    <t>Expediente Nº</t>
  </si>
  <si>
    <t>30% ≤ ΔCep,nren &lt; 45%</t>
  </si>
  <si>
    <t>Municipio</t>
  </si>
  <si>
    <t>45% ≤ ΔCep,nren &lt; 60%</t>
  </si>
  <si>
    <t>ΔCep,nren ≥ 60%</t>
  </si>
  <si>
    <t>Ahorro consumo energético</t>
  </si>
  <si>
    <t>Reducción de la demanda energética anual global de calefacción y refrigeración, de al menos un:</t>
  </si>
  <si>
    <t>Sí</t>
  </si>
  <si>
    <t>¿se pasa del máximo?</t>
  </si>
  <si>
    <t>Subvención máxima %</t>
  </si>
  <si>
    <t>No</t>
  </si>
  <si>
    <t>media por viv / Local</t>
  </si>
  <si>
    <t>subvención vivs</t>
  </si>
  <si>
    <t>Número de viviendas</t>
  </si>
  <si>
    <t>Número de locales</t>
  </si>
  <si>
    <t>subvención locales</t>
  </si>
  <si>
    <t>Total viv+local</t>
  </si>
  <si>
    <r>
      <t>Total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locales</t>
    </r>
  </si>
  <si>
    <t>Presupuesto amianto</t>
  </si>
  <si>
    <t>Subvención amianto (edif)</t>
  </si>
  <si>
    <t>Subvención amianto (x viv)</t>
  </si>
  <si>
    <t>Anticipo del 50%</t>
  </si>
  <si>
    <t>Situaciones de vulnerabilidad</t>
  </si>
  <si>
    <t>Cuantía máxima de la ayuda por vivienda</t>
  </si>
  <si>
    <t>IPREM</t>
  </si>
  <si>
    <t>Dirección:</t>
  </si>
  <si>
    <t>Expediente Nº:</t>
  </si>
  <si>
    <t>Año de los ingresos de la unidad de convivencia</t>
  </si>
  <si>
    <t>Total ingresos de las personas convivientes</t>
  </si>
  <si>
    <t>2 o más</t>
  </si>
  <si>
    <t>Número de personas menores de edad</t>
  </si>
  <si>
    <t>3 o más</t>
  </si>
  <si>
    <t>Número de personas con una discapacidad =&gt; 33%</t>
  </si>
  <si>
    <t>Situación de vulnerabilidad</t>
  </si>
  <si>
    <t>Subvención por vulnerabilidad</t>
  </si>
  <si>
    <t>Subvención otorgada adicional</t>
  </si>
  <si>
    <t>Coste por vivienda</t>
  </si>
  <si>
    <t>Municipios</t>
  </si>
  <si>
    <t>ALTITUD</t>
  </si>
  <si>
    <t>ZONA CLIMÁTICA</t>
  </si>
  <si>
    <t>Acebeda (La)</t>
  </si>
  <si>
    <t>E1</t>
  </si>
  <si>
    <t>Ajalvir</t>
  </si>
  <si>
    <t>D3</t>
  </si>
  <si>
    <t>Alameda del Valle</t>
  </si>
  <si>
    <t>Alamo (El)</t>
  </si>
  <si>
    <t>Alcalá de Henares</t>
  </si>
  <si>
    <t>Alcobendas</t>
  </si>
  <si>
    <t>Alcorcón</t>
  </si>
  <si>
    <t>Aldea del Fresno</t>
  </si>
  <si>
    <t>C3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</si>
  <si>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</si>
  <si>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</si>
  <si>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</si>
  <si>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</si>
  <si>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</si>
  <si>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</si>
  <si>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</si>
  <si>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</si>
  <si>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D2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</si>
  <si>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</si>
  <si>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</si>
  <si>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</si>
  <si>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</si>
  <si>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</si>
  <si>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</si>
  <si>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</si>
  <si>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</si>
  <si>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</si>
  <si>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</si>
  <si>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</si>
  <si>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</si>
  <si>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</si>
  <si>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</si>
  <si>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</si>
  <si>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</si>
  <si>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</si>
  <si>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</si>
  <si>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</si>
  <si>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</si>
  <si>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</si>
  <si>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</si>
  <si>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</si>
  <si>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</si>
  <si>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</si>
  <si>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</si>
  <si>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</si>
  <si>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</si>
  <si>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</si>
  <si>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</si>
  <si>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</si>
  <si>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</si>
  <si>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</si>
  <si>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</si>
  <si>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</si>
  <si>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</si>
  <si>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</si>
  <si>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</si>
  <si>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</si>
  <si>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</si>
  <si>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</si>
  <si>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</si>
  <si>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</si>
  <si>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</si>
  <si>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</si>
  <si>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</si>
  <si>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</si>
  <si>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</si>
  <si>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</si>
  <si>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</si>
  <si>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</si>
  <si>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</si>
  <si>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</si>
  <si>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</si>
  <si>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</si>
  <si>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</si>
  <si>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</si>
  <si>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</si>
  <si>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</si>
  <si>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</si>
  <si>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</si>
  <si>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</si>
  <si>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</si>
  <si>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</si>
  <si>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</si>
  <si>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</si>
  <si>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</si>
  <si>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</si>
  <si>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</si>
  <si>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</si>
  <si>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</si>
  <si>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</si>
  <si>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</si>
  <si>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</si>
  <si>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</si>
  <si>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</si>
  <si>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</si>
  <si>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</si>
  <si>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</si>
  <si>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</si>
  <si>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</si>
  <si>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</si>
  <si>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</si>
  <si>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</si>
  <si>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</si>
  <si>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</si>
  <si>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</si>
  <si>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</si>
  <si>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</si>
  <si>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</si>
  <si>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</si>
  <si>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</si>
  <si>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</si>
  <si>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</si>
  <si>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</si>
  <si>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</si>
  <si>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</si>
  <si>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</si>
  <si>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</si>
  <si>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</si>
  <si>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</si>
  <si>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</si>
  <si>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</si>
  <si>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</si>
  <si>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</si>
  <si>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</si>
  <si>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</si>
  <si>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</si>
  <si>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</si>
  <si>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</si>
  <si>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</si>
  <si>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</si>
  <si>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</si>
  <si>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</si>
  <si>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</si>
  <si>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</si>
  <si>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</si>
  <si>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</si>
  <si>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</si>
  <si>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</si>
  <si>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</si>
  <si>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</si>
  <si>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</si>
  <si>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</si>
  <si>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</si>
  <si>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</si>
  <si>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</si>
  <si>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</si>
  <si>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</si>
  <si>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</si>
  <si>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</si>
  <si>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</si>
  <si>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</si>
  <si>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</si>
  <si>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</si>
  <si>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</si>
  <si>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</si>
  <si>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</si>
  <si>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</si>
  <si>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</si>
  <si>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</si>
  <si>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</si>
  <si>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</si>
  <si>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</si>
  <si>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</si>
  <si>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</si>
  <si>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</si>
  <si>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</si>
  <si>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</si>
  <si>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</si>
  <si>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</si>
  <si>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</si>
  <si>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</si>
  <si>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</si>
  <si>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</si>
  <si>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</si>
  <si>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</si>
  <si>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</si>
  <si>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</si>
  <si>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</si>
  <si>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</si>
  <si>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</si>
  <si>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</si>
  <si>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v01-2022</t>
  </si>
  <si>
    <t>PROGRAMA 3: Programa de ayuda a las actuaciones de rehabilitación a nivel de edificios</t>
  </si>
  <si>
    <t>INDICADORES ENERGÉTICOS DE LA ACTUACIÓN:</t>
  </si>
  <si>
    <t>Artículo 27. Cuantía de las ayudas.
Tabla 24.1</t>
  </si>
  <si>
    <t>Inversión de rehabilitación</t>
  </si>
  <si>
    <t>Coste subvencionable</t>
  </si>
  <si>
    <t>INDICADORES ECONÓMICOS DE LA ACTUACIÓN:</t>
  </si>
  <si>
    <t>Cuantía máxima de la ayuda según número de viviendas</t>
  </si>
  <si>
    <t>Elegir</t>
  </si>
  <si>
    <t>CARACTERÍSTICAS DEL EDIFICIO:</t>
  </si>
  <si>
    <t>HOJA DE CÁLCULO DE LA CUANTÍA DE SUBVENCIÓN</t>
  </si>
  <si>
    <r>
      <t xml:space="preserve">Cuantía máxima de la ayuda por </t>
    </r>
    <r>
      <rPr>
        <b/>
        <sz val="10"/>
        <color theme="1"/>
        <rFont val="Calibri"/>
        <family val="2"/>
        <scheme val="minor"/>
      </rPr>
      <t>vivienda</t>
    </r>
  </si>
  <si>
    <r>
      <t>Cuantía máxima de la ayuda por m</t>
    </r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en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locales</t>
    </r>
  </si>
  <si>
    <t>ATENCIÓN: COMPLETAR LAS CELDAS EN COLOR ROJIZO Y GRIS</t>
  </si>
  <si>
    <t>RETIRADA DE AMIANTO (SI PROCEDE):</t>
  </si>
  <si>
    <t>AYUDA AL PROGRAMA 5 (SI PROCEDE):</t>
  </si>
  <si>
    <t>PENDIENTE DE INCLUIR SI NO ES PROBLEMÁTICO</t>
  </si>
  <si>
    <t>Incremento Subvención amianto</t>
  </si>
  <si>
    <t>Cálculo subvención ERRPs DATOS DEL EDIFICIO</t>
  </si>
  <si>
    <t>PROGRAMA 5: Programa de ayuda a la elaboración del libro del edificio existente y la redacción de proyecto de rehabilitación.</t>
  </si>
  <si>
    <t>DATOS DEL EDIFICIO</t>
  </si>
  <si>
    <t>Subvención otorgada/solicitada???</t>
  </si>
  <si>
    <t>Minoración por P5</t>
  </si>
  <si>
    <t>Cuantía máxima de ayuda según nº de viviendas y sup. Locales</t>
  </si>
  <si>
    <t>Solicitante</t>
  </si>
  <si>
    <t>Se considerará que una unidad de convivencia está en situación de vulnerabilidad, a los efectos de aplicación de los artículos 15.2 y 34.3 del Real Decreto 853/2021, cuando la suma de los ingresos de todos sus miembros sea inferior al número de veces el IPREM (14 pagas) que se indica a continuación.</t>
  </si>
  <si>
    <t>HOJA DE CÁLCULO DE INCREMENTO POR VULNERABILIDAD</t>
  </si>
  <si>
    <t>Solicitante:</t>
  </si>
  <si>
    <t>Zona climática</t>
  </si>
  <si>
    <t>CUANTÍA DE LA SUBVENCIÓN RESULTANTE:</t>
  </si>
  <si>
    <t>PROGRAMA 3 del RD 853/2021: Programa de ayuda a las actuaciones de rehabilitación a nivel de edificios</t>
  </si>
  <si>
    <t>ATENCIÓN: COMPLETAR LAS CELDAS DE COLOR ROJIZO Y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</si>
</sst>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4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FONT_ARIAL"/>
    </font>
    <font>
      <sz val="8"/>
      <name val="FONT_ARIAL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u/>
      <sz val="16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B4D3B"/>
        <bgColor indexed="64"/>
      </patternFill>
    </fill>
    <fill>
      <patternFill patternType="solid">
        <fgColor rgb="FFF0945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C6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/>
    </xf>
    <xf numFmtId="10" fontId="0" fillId="0" borderId="7" xfId="0" applyNumberFormat="1" applyBorder="1" applyAlignment="1">
      <alignment horizontal="right" vertical="center" indent="3"/>
    </xf>
    <xf numFmtId="164" fontId="0" fillId="0" borderId="7" xfId="0" applyNumberFormat="1" applyBorder="1" applyAlignment="1">
      <alignment horizontal="right" vertical="center" indent="2"/>
    </xf>
    <xf numFmtId="164" fontId="0" fillId="0" borderId="8" xfId="0" applyNumberFormat="1" applyBorder="1" applyAlignment="1">
      <alignment horizontal="right" vertical="center" indent="2"/>
    </xf>
    <xf numFmtId="10" fontId="0" fillId="0" borderId="10" xfId="0" applyNumberFormat="1" applyBorder="1" applyAlignment="1">
      <alignment horizontal="right" vertical="center" indent="3"/>
    </xf>
    <xf numFmtId="164" fontId="0" fillId="0" borderId="10" xfId="0" applyNumberFormat="1" applyBorder="1" applyAlignment="1">
      <alignment horizontal="right" vertical="center" indent="2"/>
    </xf>
    <xf numFmtId="164" fontId="0" fillId="0" borderId="11" xfId="0" applyNumberFormat="1" applyBorder="1" applyAlignment="1">
      <alignment horizontal="right" vertical="center" indent="2"/>
    </xf>
    <xf numFmtId="10" fontId="0" fillId="0" borderId="13" xfId="0" applyNumberFormat="1" applyBorder="1" applyAlignment="1">
      <alignment horizontal="right" vertical="center" indent="3"/>
    </xf>
    <xf numFmtId="164" fontId="0" fillId="0" borderId="13" xfId="0" applyNumberFormat="1" applyBorder="1" applyAlignment="1">
      <alignment horizontal="right" vertical="center" indent="2"/>
    </xf>
    <xf numFmtId="164" fontId="0" fillId="0" borderId="14" xfId="0" applyNumberFormat="1" applyBorder="1" applyAlignment="1">
      <alignment horizontal="right" vertical="center" indent="2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vertical="center" indent="3"/>
    </xf>
    <xf numFmtId="0" fontId="2" fillId="0" borderId="0" xfId="0" applyFont="1"/>
    <xf numFmtId="0" fontId="6" fillId="0" borderId="0" xfId="0" applyFont="1"/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right" vertical="center" indent="1"/>
      <protection locked="0"/>
    </xf>
    <xf numFmtId="3" fontId="7" fillId="2" borderId="1" xfId="0" applyNumberFormat="1" applyFont="1" applyFill="1" applyBorder="1" applyAlignment="1" applyProtection="1">
      <alignment horizontal="right" vertical="center" indent="1"/>
      <protection locked="0"/>
    </xf>
    <xf numFmtId="4" fontId="7" fillId="2" borderId="1" xfId="0" applyNumberFormat="1" applyFont="1" applyFill="1" applyBorder="1" applyAlignment="1" applyProtection="1">
      <alignment horizontal="right" vertical="center" indent="1"/>
      <protection locked="0"/>
    </xf>
    <xf numFmtId="164" fontId="11" fillId="0" borderId="0" xfId="0" applyNumberFormat="1" applyFont="1" applyAlignment="1">
      <alignment horizontal="right" indent="1"/>
    </xf>
    <xf numFmtId="164" fontId="13" fillId="3" borderId="0" xfId="0" applyNumberFormat="1" applyFont="1" applyFill="1" applyAlignment="1">
      <alignment horizontal="right" indent="1"/>
    </xf>
    <xf numFmtId="0" fontId="0" fillId="0" borderId="0" xfId="0" applyAlignment="1">
      <alignment vertical="center"/>
    </xf>
    <xf numFmtId="0" fontId="3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164" fontId="6" fillId="0" borderId="0" xfId="0" applyNumberFormat="1" applyFont="1" applyAlignment="1">
      <alignment horizontal="center" vertical="center"/>
    </xf>
    <xf numFmtId="8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" xfId="0" applyFont="1" applyBorder="1"/>
    <xf numFmtId="0" fontId="0" fillId="0" borderId="1" xfId="0" applyBorder="1"/>
    <xf numFmtId="4" fontId="15" fillId="0" borderId="1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2" borderId="0" xfId="0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wrapText="1"/>
    </xf>
    <xf numFmtId="0" fontId="0" fillId="0" borderId="0" xfId="0" applyProtection="1"/>
    <xf numFmtId="0" fontId="0" fillId="0" borderId="0" xfId="0" applyFill="1" applyBorder="1" applyProtection="1"/>
    <xf numFmtId="0" fontId="0" fillId="0" borderId="0" xfId="0" applyAlignment="1" applyProtection="1">
      <alignment vertical="top"/>
    </xf>
    <xf numFmtId="0" fontId="18" fillId="0" borderId="0" xfId="0" applyFont="1" applyAlignment="1" applyProtection="1">
      <alignment horizontal="right" vertical="top"/>
    </xf>
    <xf numFmtId="0" fontId="19" fillId="0" borderId="0" xfId="0" applyFont="1" applyProtection="1"/>
    <xf numFmtId="0" fontId="20" fillId="0" borderId="0" xfId="0" applyFont="1" applyProtection="1"/>
    <xf numFmtId="0" fontId="7" fillId="5" borderId="1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right" vertical="center" indent="1"/>
      <protection locked="0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2"/>
    </xf>
    <xf numFmtId="0" fontId="1" fillId="0" borderId="0" xfId="0" applyFont="1"/>
    <xf numFmtId="164" fontId="1" fillId="0" borderId="0" xfId="0" applyNumberFormat="1" applyFont="1"/>
    <xf numFmtId="0" fontId="7" fillId="5" borderId="26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indent="1"/>
    </xf>
    <xf numFmtId="0" fontId="0" fillId="0" borderId="2" xfId="0" applyBorder="1" applyAlignment="1">
      <alignment vertical="center"/>
    </xf>
    <xf numFmtId="164" fontId="7" fillId="2" borderId="0" xfId="0" applyNumberFormat="1" applyFont="1" applyFill="1" applyBorder="1" applyAlignment="1" applyProtection="1">
      <alignment horizontal="right" vertical="center" indent="1"/>
      <protection locked="0"/>
    </xf>
    <xf numFmtId="3" fontId="7" fillId="2" borderId="0" xfId="0" applyNumberFormat="1" applyFont="1" applyFill="1" applyBorder="1" applyAlignment="1" applyProtection="1">
      <alignment horizontal="right" vertical="center" indent="1"/>
      <protection locked="0"/>
    </xf>
    <xf numFmtId="49" fontId="29" fillId="0" borderId="0" xfId="0" applyNumberFormat="1" applyFont="1" applyFill="1" applyAlignment="1">
      <alignment horizontal="right" indent="1"/>
    </xf>
    <xf numFmtId="0" fontId="0" fillId="0" borderId="0" xfId="0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right" indent="1"/>
    </xf>
    <xf numFmtId="3" fontId="1" fillId="0" borderId="0" xfId="0" applyNumberFormat="1" applyFont="1"/>
    <xf numFmtId="10" fontId="1" fillId="0" borderId="0" xfId="0" applyNumberFormat="1" applyFont="1" applyBorder="1" applyAlignment="1">
      <alignment horizontal="right" vertical="center" indent="3"/>
    </xf>
    <xf numFmtId="164" fontId="1" fillId="0" borderId="0" xfId="0" applyNumberFormat="1" applyFont="1" applyBorder="1" applyAlignment="1">
      <alignment horizontal="right" vertical="center" indent="2"/>
    </xf>
    <xf numFmtId="0" fontId="1" fillId="0" borderId="0" xfId="0" applyFont="1" applyAlignment="1">
      <alignment horizontal="right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164" fontId="13" fillId="3" borderId="29" xfId="0" applyNumberFormat="1" applyFont="1" applyFill="1" applyBorder="1" applyAlignment="1">
      <alignment horizontal="right" indent="1"/>
    </xf>
    <xf numFmtId="164" fontId="7" fillId="8" borderId="0" xfId="0" applyNumberFormat="1" applyFont="1" applyFill="1" applyBorder="1" applyAlignment="1" applyProtection="1">
      <alignment horizontal="right" vertical="center" indent="1"/>
      <protection locked="0"/>
    </xf>
    <xf numFmtId="3" fontId="7" fillId="8" borderId="0" xfId="0" applyNumberFormat="1" applyFont="1" applyFill="1" applyBorder="1" applyAlignment="1" applyProtection="1">
      <alignment horizontal="right" vertical="center" indent="1"/>
      <protection locked="0"/>
    </xf>
    <xf numFmtId="0" fontId="0" fillId="0" borderId="25" xfId="0" applyBorder="1" applyAlignment="1">
      <alignment vertical="center"/>
    </xf>
    <xf numFmtId="0" fontId="0" fillId="0" borderId="0" xfId="0" applyBorder="1"/>
    <xf numFmtId="0" fontId="32" fillId="0" borderId="0" xfId="0" applyFont="1" applyAlignment="1">
      <alignment horizontal="right" vertical="center" indent="1"/>
    </xf>
    <xf numFmtId="10" fontId="32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wrapText="1"/>
    </xf>
    <xf numFmtId="0" fontId="0" fillId="0" borderId="0" xfId="0" applyAlignment="1">
      <alignment horizontal="justify" vertical="center"/>
    </xf>
    <xf numFmtId="0" fontId="0" fillId="11" borderId="3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0" xfId="0" applyFill="1"/>
    <xf numFmtId="0" fontId="0" fillId="11" borderId="6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8" fontId="0" fillId="11" borderId="18" xfId="0" applyNumberForma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164" fontId="0" fillId="11" borderId="11" xfId="0" applyNumberFormat="1" applyFill="1" applyBorder="1" applyAlignment="1">
      <alignment horizontal="center" vertical="center"/>
    </xf>
    <xf numFmtId="8" fontId="0" fillId="11" borderId="11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164" fontId="0" fillId="11" borderId="14" xfId="0" applyNumberFormat="1" applyFill="1" applyBorder="1" applyAlignment="1">
      <alignment horizontal="center" vertical="center"/>
    </xf>
    <xf numFmtId="8" fontId="0" fillId="11" borderId="14" xfId="0" applyNumberForma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10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 wrapText="1"/>
    </xf>
    <xf numFmtId="0" fontId="7" fillId="0" borderId="0" xfId="0" applyFont="1" applyFill="1" applyAlignment="1" applyProtection="1">
      <alignment horizontal="right" vertical="center" indent="1"/>
      <protection locked="0"/>
    </xf>
    <xf numFmtId="0" fontId="7" fillId="0" borderId="20" xfId="0" applyFont="1" applyFill="1" applyBorder="1" applyAlignment="1" applyProtection="1">
      <alignment horizontal="right" vertical="center" indent="1"/>
      <protection locked="0"/>
    </xf>
    <xf numFmtId="0" fontId="37" fillId="0" borderId="0" xfId="0" applyFont="1" applyProtection="1"/>
    <xf numFmtId="4" fontId="7" fillId="13" borderId="1" xfId="0" applyNumberFormat="1" applyFont="1" applyFill="1" applyBorder="1" applyAlignment="1" applyProtection="1">
      <alignment horizontal="right" vertical="center" indent="1"/>
      <protection locked="0"/>
    </xf>
    <xf numFmtId="3" fontId="7" fillId="13" borderId="1" xfId="0" applyNumberFormat="1" applyFont="1" applyFill="1" applyBorder="1" applyAlignment="1" applyProtection="1">
      <alignment horizontal="right" vertical="center" indent="1"/>
      <protection locked="0"/>
    </xf>
    <xf numFmtId="164" fontId="7" fillId="13" borderId="1" xfId="0" applyNumberFormat="1" applyFont="1" applyFill="1" applyBorder="1" applyAlignment="1" applyProtection="1">
      <alignment horizontal="right" vertical="center" indent="1"/>
      <protection locked="0"/>
    </xf>
    <xf numFmtId="0" fontId="38" fillId="0" borderId="0" xfId="0" applyFont="1"/>
    <xf numFmtId="0" fontId="38" fillId="0" borderId="0" xfId="0" applyFont="1" applyAlignment="1">
      <alignment horizontal="right"/>
    </xf>
    <xf numFmtId="0" fontId="38" fillId="0" borderId="0" xfId="0" applyFont="1" applyBorder="1"/>
    <xf numFmtId="164" fontId="39" fillId="0" borderId="0" xfId="0" applyNumberFormat="1" applyFont="1" applyAlignment="1">
      <alignment horizontal="right" indent="1"/>
    </xf>
    <xf numFmtId="3" fontId="38" fillId="0" borderId="0" xfId="0" applyNumberFormat="1" applyFont="1"/>
    <xf numFmtId="0" fontId="38" fillId="0" borderId="0" xfId="0" applyFont="1" applyFill="1"/>
    <xf numFmtId="0" fontId="38" fillId="0" borderId="0" xfId="0" applyFont="1" applyAlignment="1">
      <alignment horizontal="right" vertical="center"/>
    </xf>
    <xf numFmtId="164" fontId="40" fillId="0" borderId="0" xfId="0" applyNumberFormat="1" applyFont="1" applyFill="1" applyAlignment="1">
      <alignment horizontal="right" indent="1"/>
    </xf>
    <xf numFmtId="0" fontId="39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right" vertical="center" indent="3"/>
    </xf>
    <xf numFmtId="164" fontId="6" fillId="0" borderId="0" xfId="0" applyNumberFormat="1" applyFont="1" applyBorder="1" applyAlignment="1">
      <alignment horizontal="right" vertical="center" indent="2"/>
    </xf>
    <xf numFmtId="164" fontId="42" fillId="0" borderId="0" xfId="0" applyNumberFormat="1" applyFont="1" applyAlignment="1">
      <alignment horizontal="right" inden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4" fontId="41" fillId="0" borderId="0" xfId="0" applyNumberFormat="1" applyFont="1" applyAlignment="1">
      <alignment horizontal="right" indent="1"/>
    </xf>
    <xf numFmtId="0" fontId="6" fillId="0" borderId="0" xfId="0" applyFont="1" applyFill="1"/>
    <xf numFmtId="164" fontId="29" fillId="3" borderId="22" xfId="0" applyNumberFormat="1" applyFont="1" applyFill="1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49" fontId="29" fillId="9" borderId="22" xfId="0" applyNumberFormat="1" applyFont="1" applyFill="1" applyBorder="1" applyAlignment="1">
      <alignment horizontal="left" wrapText="1" indent="1"/>
    </xf>
    <xf numFmtId="0" fontId="0" fillId="9" borderId="23" xfId="0" applyFill="1" applyBorder="1" applyAlignment="1">
      <alignment horizontal="left" wrapText="1" indent="1"/>
    </xf>
    <xf numFmtId="0" fontId="0" fillId="9" borderId="24" xfId="0" applyFill="1" applyBorder="1" applyAlignment="1">
      <alignment horizontal="left" wrapText="1" indent="1"/>
    </xf>
    <xf numFmtId="0" fontId="25" fillId="0" borderId="28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6" fillId="12" borderId="22" xfId="0" applyFont="1" applyFill="1" applyBorder="1" applyAlignment="1" applyProtection="1">
      <alignment horizontal="center" vertical="center" wrapText="1"/>
    </xf>
    <xf numFmtId="0" fontId="16" fillId="12" borderId="23" xfId="0" applyFont="1" applyFill="1" applyBorder="1" applyAlignment="1" applyProtection="1">
      <alignment horizontal="center" vertical="center" wrapText="1"/>
    </xf>
    <xf numFmtId="0" fontId="17" fillId="12" borderId="24" xfId="0" applyFont="1" applyFill="1" applyBorder="1" applyAlignment="1" applyProtection="1">
      <alignment wrapText="1"/>
    </xf>
    <xf numFmtId="0" fontId="21" fillId="0" borderId="25" xfId="0" applyFont="1" applyFill="1" applyBorder="1" applyAlignment="1" applyProtection="1">
      <alignment vertical="center" wrapText="1"/>
    </xf>
    <xf numFmtId="0" fontId="22" fillId="0" borderId="25" xfId="0" applyFont="1" applyFill="1" applyBorder="1" applyAlignment="1" applyProtection="1">
      <alignment vertical="center" wrapText="1"/>
    </xf>
    <xf numFmtId="49" fontId="29" fillId="10" borderId="22" xfId="0" applyNumberFormat="1" applyFont="1" applyFill="1" applyBorder="1" applyAlignment="1">
      <alignment horizontal="left" wrapText="1" indent="1"/>
    </xf>
    <xf numFmtId="0" fontId="0" fillId="10" borderId="23" xfId="0" applyFill="1" applyBorder="1" applyAlignment="1">
      <alignment horizontal="left" wrapText="1" indent="1"/>
    </xf>
    <xf numFmtId="0" fontId="0" fillId="10" borderId="24" xfId="0" applyFill="1" applyBorder="1" applyAlignment="1">
      <alignment horizontal="left" wrapText="1" indent="1"/>
    </xf>
    <xf numFmtId="0" fontId="6" fillId="0" borderId="0" xfId="0" applyFont="1" applyAlignment="1">
      <alignment horizontal="right" vertical="center" wrapText="1" inden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11" fillId="0" borderId="2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wrapText="1" indent="1"/>
    </xf>
    <xf numFmtId="0" fontId="0" fillId="0" borderId="0" xfId="0" applyBorder="1" applyAlignment="1">
      <alignment horizontal="right" vertical="center" indent="1"/>
    </xf>
    <xf numFmtId="0" fontId="16" fillId="4" borderId="22" xfId="0" applyFont="1" applyFill="1" applyBorder="1" applyAlignment="1" applyProtection="1">
      <alignment horizontal="center" vertical="center" wrapText="1"/>
    </xf>
    <xf numFmtId="0" fontId="16" fillId="4" borderId="23" xfId="0" applyFont="1" applyFill="1" applyBorder="1" applyAlignment="1" applyProtection="1">
      <alignment horizontal="center" vertical="center" wrapText="1"/>
    </xf>
    <xf numFmtId="0" fontId="17" fillId="4" borderId="24" xfId="0" applyFont="1" applyFill="1" applyBorder="1" applyAlignment="1" applyProtection="1">
      <alignment wrapText="1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wrapText="1"/>
    </xf>
    <xf numFmtId="0" fontId="0" fillId="11" borderId="28" xfId="0" applyFill="1" applyBorder="1" applyAlignment="1">
      <alignment horizontal="center" wrapText="1"/>
    </xf>
    <xf numFmtId="49" fontId="29" fillId="3" borderId="22" xfId="0" applyNumberFormat="1" applyFont="1" applyFill="1" applyBorder="1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0" borderId="24" xfId="0" applyBorder="1" applyAlignment="1">
      <alignment horizontal="left" wrapText="1" indent="1"/>
    </xf>
    <xf numFmtId="0" fontId="11" fillId="6" borderId="0" xfId="0" applyFont="1" applyFill="1" applyAlignment="1">
      <alignment horizontal="center" vertical="center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2" fillId="0" borderId="0" xfId="0" applyFont="1" applyAlignment="1">
      <alignment horizontal="right" vertical="center" wrapText="1" indent="1"/>
    </xf>
  </cellXfs>
  <cellStyles count="1">
    <cellStyle name="Normal" xfId="0" builtinId="0"/>
  </cellStyles>
  <dxfs count="1">
    <dxf>
      <font>
        <b/>
        <i val="0"/>
        <color theme="3"/>
      </font>
    </dxf>
  </dxfs>
  <tableStyles count="0" defaultTableStyle="TableStyleMedium2" defaultPivotStyle="PivotStyleLight16"/>
  <colors>
    <mruColors>
      <color rgb="FFD00000"/>
      <color rgb="FFDDDDDD"/>
      <color rgb="FFE6E6E6"/>
      <color rgb="FFF97C6F"/>
      <color rgb="FFF09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</xdr:colOff>
      <xdr:row>0</xdr:row>
      <xdr:rowOff>151501</xdr:rowOff>
    </xdr:from>
    <xdr:to>
      <xdr:col>1</xdr:col>
      <xdr:colOff>578254</xdr:colOff>
      <xdr:row>4</xdr:row>
      <xdr:rowOff>163100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54"/>
        <a:stretch/>
      </xdr:blipFill>
      <xdr:spPr bwMode="auto">
        <a:xfrm>
          <a:off x="223285" y="151501"/>
          <a:ext cx="553407" cy="7577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658813</xdr:colOff>
      <xdr:row>0</xdr:row>
      <xdr:rowOff>71437</xdr:rowOff>
    </xdr:from>
    <xdr:to>
      <xdr:col>5</xdr:col>
      <xdr:colOff>431866</xdr:colOff>
      <xdr:row>4</xdr:row>
      <xdr:rowOff>166633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1" y="71437"/>
          <a:ext cx="1487553" cy="841321"/>
        </a:xfrm>
        <a:prstGeom prst="rect">
          <a:avLst/>
        </a:prstGeom>
      </xdr:spPr>
    </xdr:pic>
    <xdr:clientData/>
  </xdr:twoCellAnchor>
  <xdr:twoCellAnchor editAs="oneCell">
    <xdr:from>
      <xdr:col>8</xdr:col>
      <xdr:colOff>189750</xdr:colOff>
      <xdr:row>0</xdr:row>
      <xdr:rowOff>111124</xdr:rowOff>
    </xdr:from>
    <xdr:to>
      <xdr:col>11</xdr:col>
      <xdr:colOff>10365</xdr:colOff>
      <xdr:row>4</xdr:row>
      <xdr:rowOff>150812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30500" y="111124"/>
          <a:ext cx="1900240" cy="785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</xdr:colOff>
      <xdr:row>0</xdr:row>
      <xdr:rowOff>151501</xdr:rowOff>
    </xdr:from>
    <xdr:to>
      <xdr:col>1</xdr:col>
      <xdr:colOff>578254</xdr:colOff>
      <xdr:row>4</xdr:row>
      <xdr:rowOff>144050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54"/>
        <a:stretch/>
      </xdr:blipFill>
      <xdr:spPr bwMode="auto">
        <a:xfrm>
          <a:off x="224872" y="151501"/>
          <a:ext cx="553407" cy="7545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658813</xdr:colOff>
      <xdr:row>0</xdr:row>
      <xdr:rowOff>71437</xdr:rowOff>
    </xdr:from>
    <xdr:to>
      <xdr:col>5</xdr:col>
      <xdr:colOff>88966</xdr:colOff>
      <xdr:row>4</xdr:row>
      <xdr:rowOff>147583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7838" y="71437"/>
          <a:ext cx="1487553" cy="838146"/>
        </a:xfrm>
        <a:prstGeom prst="rect">
          <a:avLst/>
        </a:prstGeom>
      </xdr:spPr>
    </xdr:pic>
    <xdr:clientData/>
  </xdr:twoCellAnchor>
  <xdr:twoCellAnchor editAs="oneCell">
    <xdr:from>
      <xdr:col>6</xdr:col>
      <xdr:colOff>1437525</xdr:colOff>
      <xdr:row>0</xdr:row>
      <xdr:rowOff>130174</xdr:rowOff>
    </xdr:from>
    <xdr:to>
      <xdr:col>10</xdr:col>
      <xdr:colOff>10365</xdr:colOff>
      <xdr:row>4</xdr:row>
      <xdr:rowOff>150812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4150" y="130174"/>
          <a:ext cx="1897065" cy="76358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323304</xdr:colOff>
      <xdr:row>26</xdr:row>
      <xdr:rowOff>104571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0" y="4048125"/>
          <a:ext cx="4371429" cy="16285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152400</xdr:rowOff>
    </xdr:from>
    <xdr:to>
      <xdr:col>9</xdr:col>
      <xdr:colOff>428065</xdr:colOff>
      <xdr:row>38</xdr:row>
      <xdr:rowOff>47351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7850" y="5724525"/>
          <a:ext cx="4476190" cy="2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</xdr:colOff>
      <xdr:row>0</xdr:row>
      <xdr:rowOff>151501</xdr:rowOff>
    </xdr:from>
    <xdr:to>
      <xdr:col>1</xdr:col>
      <xdr:colOff>578254</xdr:colOff>
      <xdr:row>4</xdr:row>
      <xdr:rowOff>163100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54"/>
        <a:stretch/>
      </xdr:blipFill>
      <xdr:spPr bwMode="auto">
        <a:xfrm>
          <a:off x="224872" y="151501"/>
          <a:ext cx="553407" cy="7545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658813</xdr:colOff>
      <xdr:row>0</xdr:row>
      <xdr:rowOff>71437</xdr:rowOff>
    </xdr:from>
    <xdr:to>
      <xdr:col>4</xdr:col>
      <xdr:colOff>431866</xdr:colOff>
      <xdr:row>4</xdr:row>
      <xdr:rowOff>166633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7838" y="71437"/>
          <a:ext cx="1487553" cy="838146"/>
        </a:xfrm>
        <a:prstGeom prst="rect">
          <a:avLst/>
        </a:prstGeom>
      </xdr:spPr>
    </xdr:pic>
    <xdr:clientData/>
  </xdr:twoCellAnchor>
  <xdr:twoCellAnchor editAs="oneCell">
    <xdr:from>
      <xdr:col>7</xdr:col>
      <xdr:colOff>189750</xdr:colOff>
      <xdr:row>0</xdr:row>
      <xdr:rowOff>111124</xdr:rowOff>
    </xdr:from>
    <xdr:to>
      <xdr:col>10</xdr:col>
      <xdr:colOff>10365</xdr:colOff>
      <xdr:row>4</xdr:row>
      <xdr:rowOff>150812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33675" y="111124"/>
          <a:ext cx="1897065" cy="782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1"/>
  <sheetViews>
    <sheetView showGridLines="0" showRowColHeaders="0" tabSelected="1" topLeftCell="A19" zoomScale="115" zoomScaleNormal="115" workbookViewId="0">
      <selection activeCell="G35" sqref="G35"/>
    </sheetView>
  </sheetViews>
  <sheetFormatPr baseColWidth="10" defaultColWidth="11.42578125" defaultRowHeight="15"/>
  <cols>
    <col min="1" max="1" width="3" customWidth="1"/>
    <col min="2" max="2" width="15.7109375" customWidth="1"/>
    <col min="3" max="3" width="35.7109375" customWidth="1"/>
    <col min="4" max="4" width="8" customWidth="1"/>
    <col min="5" max="5" width="25.7109375" customWidth="1"/>
    <col min="6" max="6" width="7.42578125" customWidth="1"/>
    <col min="7" max="7" width="21.42578125" customWidth="1"/>
    <col min="8" max="8" width="17.7109375" customWidth="1"/>
    <col min="9" max="10" width="14.7109375" customWidth="1"/>
    <col min="11" max="11" width="1.7109375" customWidth="1"/>
    <col min="13" max="13" width="24.7109375" customWidth="1"/>
  </cols>
  <sheetData>
    <row r="1" spans="2:25" s="45" customFormat="1" ht="13.5" customHeight="1"/>
    <row r="2" spans="2:25" s="45" customFormat="1"/>
    <row r="3" spans="2:25" s="45" customFormat="1"/>
    <row r="4" spans="2:25" s="45" customFormat="1"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2:25" s="45" customFormat="1"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2:25" s="45" customFormat="1" ht="20.25">
      <c r="B6" s="151" t="s">
        <v>238</v>
      </c>
      <c r="C6" s="152"/>
      <c r="D6" s="152"/>
      <c r="E6" s="152"/>
      <c r="F6" s="152"/>
      <c r="G6" s="152"/>
      <c r="H6" s="152"/>
      <c r="I6" s="152"/>
      <c r="J6" s="152"/>
      <c r="K6" s="153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2:25" s="45" customFormat="1" ht="10.5" customHeight="1">
      <c r="B7" s="47"/>
      <c r="K7" s="48" t="s">
        <v>228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2:25" s="45" customFormat="1" ht="21">
      <c r="B8" s="142" t="s">
        <v>258</v>
      </c>
      <c r="C8" s="143"/>
      <c r="D8" s="143"/>
      <c r="E8" s="144"/>
      <c r="F8" s="145"/>
      <c r="G8" s="145"/>
      <c r="H8" s="145"/>
      <c r="I8" s="145"/>
      <c r="J8" s="145"/>
      <c r="K8" s="145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2:25" s="45" customFormat="1" ht="21">
      <c r="B9" s="117" t="s">
        <v>259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2:25" s="45" customFormat="1" ht="12" customHeight="1">
      <c r="B10" s="154"/>
      <c r="C10" s="155"/>
      <c r="D10" s="155"/>
      <c r="E10" s="155"/>
      <c r="F10" s="155"/>
      <c r="G10" s="155"/>
      <c r="H10" s="155"/>
      <c r="I10" s="155"/>
      <c r="J10" s="155"/>
      <c r="K10" s="15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2:25" ht="30" customHeight="1" thickBot="1">
      <c r="B11" s="160" t="s">
        <v>248</v>
      </c>
      <c r="C11" s="161"/>
      <c r="D11" s="161"/>
      <c r="E11" s="162"/>
      <c r="G11" s="149" t="s">
        <v>231</v>
      </c>
      <c r="H11" s="150"/>
      <c r="I11" s="150"/>
      <c r="J11" s="150"/>
    </row>
    <row r="12" spans="2:25" ht="48.75" customHeight="1">
      <c r="B12" s="116" t="s">
        <v>252</v>
      </c>
      <c r="C12" s="163"/>
      <c r="D12" s="163"/>
      <c r="E12" s="164"/>
      <c r="G12" s="67" t="s">
        <v>1</v>
      </c>
      <c r="H12" s="68" t="s">
        <v>2</v>
      </c>
      <c r="I12" s="68" t="s">
        <v>239</v>
      </c>
      <c r="J12" s="69" t="s">
        <v>240</v>
      </c>
      <c r="M12" s="20" t="s">
        <v>236</v>
      </c>
    </row>
    <row r="13" spans="2:25" ht="21.95" customHeight="1">
      <c r="B13" s="116" t="s">
        <v>3</v>
      </c>
      <c r="C13" s="163"/>
      <c r="D13" s="163"/>
      <c r="E13" s="164"/>
      <c r="G13" s="63" t="s">
        <v>4</v>
      </c>
      <c r="H13" s="6">
        <v>0</v>
      </c>
      <c r="I13" s="7">
        <v>0</v>
      </c>
      <c r="J13" s="8">
        <v>0</v>
      </c>
      <c r="M13" s="70" t="s">
        <v>4</v>
      </c>
    </row>
    <row r="14" spans="2:25" ht="21.95" customHeight="1">
      <c r="B14" s="115" t="s">
        <v>5</v>
      </c>
      <c r="C14" s="165"/>
      <c r="D14" s="165"/>
      <c r="E14" s="166"/>
      <c r="G14" s="64" t="s">
        <v>6</v>
      </c>
      <c r="H14" s="9">
        <v>0.4</v>
      </c>
      <c r="I14" s="10">
        <v>6300</v>
      </c>
      <c r="J14" s="11">
        <v>56</v>
      </c>
      <c r="M14" s="71" t="s">
        <v>6</v>
      </c>
    </row>
    <row r="15" spans="2:25" ht="21.95" customHeight="1">
      <c r="B15" s="2" t="s">
        <v>7</v>
      </c>
      <c r="C15" s="84" t="s">
        <v>50</v>
      </c>
      <c r="D15" s="114" t="s">
        <v>256</v>
      </c>
      <c r="E15" s="111" t="str">
        <f>IF(C15="Elegir","",LOOKUP(C15, Zona_climatica!A2:A181, Zona_climatica!C2:C181))</f>
        <v>D3</v>
      </c>
      <c r="G15" s="64" t="s">
        <v>8</v>
      </c>
      <c r="H15" s="9">
        <v>0.65</v>
      </c>
      <c r="I15" s="10">
        <v>11600</v>
      </c>
      <c r="J15" s="11">
        <v>104</v>
      </c>
      <c r="M15" s="71" t="s">
        <v>8</v>
      </c>
    </row>
    <row r="16" spans="2:25" ht="21.95" customHeight="1" thickBot="1">
      <c r="G16" s="65" t="s">
        <v>9</v>
      </c>
      <c r="H16" s="12">
        <v>0.8</v>
      </c>
      <c r="I16" s="13">
        <v>18800</v>
      </c>
      <c r="J16" s="14">
        <v>168</v>
      </c>
      <c r="M16" s="71" t="s">
        <v>9</v>
      </c>
    </row>
    <row r="17" spans="2:13" ht="17.25" customHeight="1">
      <c r="B17" s="156" t="s">
        <v>230</v>
      </c>
      <c r="C17" s="157"/>
      <c r="D17" s="157"/>
      <c r="E17" s="158"/>
      <c r="G17" s="54"/>
      <c r="H17" s="55"/>
      <c r="I17" s="56"/>
      <c r="J17" s="56"/>
      <c r="M17" s="20"/>
    </row>
    <row r="18" spans="2:13" ht="6.75" customHeight="1">
      <c r="B18" s="60"/>
      <c r="C18" s="61"/>
      <c r="D18" s="61"/>
      <c r="E18" s="88"/>
      <c r="F18" s="89"/>
      <c r="G18" s="54"/>
      <c r="H18" s="55"/>
      <c r="I18" s="56"/>
      <c r="J18" s="56"/>
      <c r="M18" s="20"/>
    </row>
    <row r="19" spans="2:13" ht="36.75" customHeight="1">
      <c r="B19" s="168" t="s">
        <v>10</v>
      </c>
      <c r="C19" s="168"/>
      <c r="D19" s="110"/>
      <c r="E19" s="84" t="s">
        <v>6</v>
      </c>
      <c r="G19" s="20"/>
      <c r="H19" s="20"/>
      <c r="I19" s="20" t="s">
        <v>236</v>
      </c>
      <c r="J19" s="20"/>
      <c r="K19" s="20"/>
    </row>
    <row r="20" spans="2:13" ht="10.5" customHeight="1">
      <c r="G20" s="20"/>
      <c r="H20" s="20"/>
      <c r="I20" s="20"/>
      <c r="J20" s="20"/>
      <c r="K20" s="20"/>
    </row>
    <row r="21" spans="2:13" ht="36.75" customHeight="1">
      <c r="B21" s="167" t="s">
        <v>11</v>
      </c>
      <c r="C21" s="167"/>
      <c r="D21" s="108"/>
      <c r="E21" s="42" t="str">
        <f>IF(E15="","",IF(E15="C3","&gt;25 %",IF(E15="","","&gt;35 %")))</f>
        <v>&gt;35 %</v>
      </c>
      <c r="F21" s="84" t="s">
        <v>12</v>
      </c>
      <c r="G21" s="159"/>
      <c r="H21" s="159"/>
      <c r="I21" s="20"/>
      <c r="J21" s="92"/>
      <c r="K21" s="20"/>
    </row>
    <row r="22" spans="2:13" ht="20.100000000000001" customHeight="1">
      <c r="F22" s="121"/>
      <c r="G22" s="20" t="s">
        <v>13</v>
      </c>
      <c r="H22" s="20"/>
      <c r="I22" s="130" t="s">
        <v>14</v>
      </c>
      <c r="J22" s="20"/>
      <c r="K22" s="20"/>
      <c r="L22" s="121"/>
    </row>
    <row r="23" spans="2:13" ht="17.25" customHeight="1">
      <c r="B23" s="146" t="s">
        <v>234</v>
      </c>
      <c r="C23" s="147"/>
      <c r="D23" s="147"/>
      <c r="E23" s="148"/>
      <c r="F23" s="121"/>
      <c r="G23" s="131"/>
      <c r="H23" s="132"/>
      <c r="I23" s="133"/>
      <c r="J23" s="133"/>
      <c r="K23" s="20"/>
      <c r="L23" s="121"/>
    </row>
    <row r="24" spans="2:13" ht="6.75" customHeight="1">
      <c r="B24" s="60"/>
      <c r="C24" s="61"/>
      <c r="D24" s="61"/>
      <c r="E24" s="61"/>
      <c r="F24" s="123"/>
      <c r="G24" s="131"/>
      <c r="H24" s="132"/>
      <c r="I24" s="133"/>
      <c r="J24" s="133"/>
      <c r="K24" s="20"/>
      <c r="L24" s="121"/>
    </row>
    <row r="25" spans="2:13" ht="15.75">
      <c r="C25" s="1" t="s">
        <v>232</v>
      </c>
      <c r="D25" s="109"/>
      <c r="E25" s="86">
        <v>120000</v>
      </c>
      <c r="F25" s="121"/>
      <c r="G25" s="134">
        <f>IF('Cálculo subvención P3'!F20="No",0,IF('Cálculo subvención P3'!E26&lt;I31,'Cálculo subvención P3'!E26,I31))</f>
        <v>100000</v>
      </c>
      <c r="H25" s="20"/>
      <c r="I25" s="20"/>
      <c r="J25" s="135" t="s">
        <v>236</v>
      </c>
      <c r="K25" s="20"/>
      <c r="L25" s="121"/>
    </row>
    <row r="26" spans="2:13" ht="15.75">
      <c r="C26" s="1" t="s">
        <v>233</v>
      </c>
      <c r="D26" s="109"/>
      <c r="E26" s="120">
        <v>100000</v>
      </c>
      <c r="F26" s="121"/>
      <c r="G26" s="134">
        <f>IF('Cálculo subvención P3'!F21="No",0,IF('Cálculo subvención P3'!E27&lt;I32,'Cálculo subvención P3'!E27,I32))</f>
        <v>40000</v>
      </c>
      <c r="H26" s="20"/>
      <c r="I26" s="20"/>
      <c r="J26" s="135" t="s">
        <v>12</v>
      </c>
      <c r="K26" s="20"/>
      <c r="L26" s="121"/>
    </row>
    <row r="27" spans="2:13">
      <c r="C27" s="112">
        <f>IF(F21='Cálculo subvención P3'!J25,"",IF(F21='Cálculo subvención P3'!J27,"",IF(E19='Cálculo subvención P3'!M12,"",IF(E19='Cálculo subvención P3'!G13,"",IF(E19='Cálculo subvención P3'!G14,'Cálculo subvención P3'!H14,IF(E19='Cálculo subvención P3'!G15,'Cálculo subvención P3'!H15,'Cálculo subvención P3'!H16))))))</f>
        <v>0.4</v>
      </c>
      <c r="D27" s="91"/>
      <c r="E27" s="26">
        <f>IF(F21="No","",IF(E19='Cálculo subvención P3'!G14,E26*'Cálculo subvención P3'!H14,IF(E19='Cálculo subvención P3'!G15,E26*'Cálculo subvención P3'!H15,IF(E19='Cálculo subvención P3'!G16,E26*'Cálculo subvención P3'!H16,""))))</f>
        <v>40000</v>
      </c>
      <c r="F27" s="121"/>
      <c r="G27" s="20"/>
      <c r="H27" s="20"/>
      <c r="I27" s="136"/>
      <c r="J27" s="135" t="s">
        <v>15</v>
      </c>
      <c r="K27" s="20"/>
      <c r="L27" s="121"/>
    </row>
    <row r="28" spans="2:13">
      <c r="B28" s="29" t="s">
        <v>237</v>
      </c>
      <c r="E28" s="1"/>
      <c r="F28" s="121"/>
      <c r="G28" s="20" t="s">
        <v>16</v>
      </c>
      <c r="H28" s="20"/>
      <c r="I28" s="130" t="s">
        <v>17</v>
      </c>
      <c r="J28" s="135"/>
      <c r="K28" s="20"/>
      <c r="L28" s="121"/>
    </row>
    <row r="29" spans="2:13" ht="15.75">
      <c r="C29" s="1" t="s">
        <v>18</v>
      </c>
      <c r="D29" s="109"/>
      <c r="E29" s="119">
        <v>120</v>
      </c>
      <c r="F29" s="121"/>
      <c r="G29" s="137">
        <f>IF('Cálculo subvención P3'!E29=0,0,IF(I29&gt;G26,G26/('Cálculo subvención P3'!E29+'Cálculo subvención P3'!E31),I29/('Cálculo subvención P3'!E29+'Cálculo subvención P3'!E31)))</f>
        <v>330.57851239669424</v>
      </c>
      <c r="H29" s="20"/>
      <c r="I29" s="134">
        <f>IF('Cálculo subvención P3'!F21="No",0,IF('Cálculo subvención P3'!E19='Cálculo subvención P3'!G14,'Cálculo subvención P3'!E29*'Cálculo subvención P3'!I14,IF('Cálculo subvención P3'!E19='Cálculo subvención P3'!G15,'Cálculo subvención P3'!E29*'Cálculo subvención P3'!I15,IF('Cálculo subvención P3'!E19='Cálculo subvención P3'!G16,'Cálculo subvención P3'!E29*'Cálculo subvención P3'!I16,0))))</f>
        <v>756000</v>
      </c>
      <c r="J29" s="20"/>
      <c r="K29" s="20"/>
      <c r="L29" s="121"/>
    </row>
    <row r="30" spans="2:13" ht="6" customHeight="1">
      <c r="C30" s="66"/>
      <c r="F30" s="121"/>
      <c r="G30" s="20"/>
      <c r="H30" s="20"/>
      <c r="I30" s="20"/>
      <c r="J30" s="20"/>
      <c r="K30" s="20"/>
      <c r="L30" s="121"/>
    </row>
    <row r="31" spans="2:13">
      <c r="C31" s="66" t="s">
        <v>19</v>
      </c>
      <c r="D31" s="3"/>
      <c r="E31" s="87">
        <v>1</v>
      </c>
      <c r="F31" s="121"/>
      <c r="G31" s="20" t="s">
        <v>20</v>
      </c>
      <c r="H31" s="20"/>
      <c r="I31" s="130" t="s">
        <v>21</v>
      </c>
      <c r="J31" s="20"/>
      <c r="K31" s="20"/>
      <c r="L31" s="121"/>
    </row>
    <row r="32" spans="2:13" ht="17.25">
      <c r="C32" s="66" t="s">
        <v>22</v>
      </c>
      <c r="D32" s="3"/>
      <c r="E32" s="118">
        <v>0</v>
      </c>
      <c r="F32" s="122"/>
      <c r="G32" s="134">
        <f>IF('Cálculo subvención P3'!F21="No",0,IF('Cálculo subvención P3'!E19='Cálculo subvención P3'!G14,'Cálculo subvención P3'!E32*'Cálculo subvención P3'!J14,IF('Cálculo subvención P3'!E19='Cálculo subvención P3'!G15,'Cálculo subvención P3'!E32*'Cálculo subvención P3'!J15,IF('Cálculo subvención P3'!E19='Cálculo subvención P3'!G16,'Cálculo subvención P3'!E32*'Cálculo subvención P3'!J16,0))))</f>
        <v>0</v>
      </c>
      <c r="H32" s="20"/>
      <c r="I32" s="136">
        <f>+I29+G32</f>
        <v>756000</v>
      </c>
      <c r="J32" s="20"/>
      <c r="K32" s="20"/>
      <c r="L32" s="121"/>
    </row>
    <row r="33" spans="2:14" ht="15.75" customHeight="1">
      <c r="C33" s="113" t="s">
        <v>251</v>
      </c>
      <c r="D33" s="90"/>
      <c r="E33" s="26">
        <f>I32</f>
        <v>756000</v>
      </c>
      <c r="F33" s="121"/>
      <c r="G33" s="20"/>
      <c r="H33" s="20"/>
      <c r="I33" s="20"/>
      <c r="J33" s="20"/>
      <c r="K33" s="20"/>
      <c r="L33" s="121"/>
    </row>
    <row r="34" spans="2:14" ht="9" customHeight="1">
      <c r="C34" s="66"/>
      <c r="D34" s="66"/>
      <c r="E34" s="17"/>
      <c r="F34" s="121"/>
      <c r="G34" s="20"/>
      <c r="H34" s="20"/>
      <c r="I34" s="20"/>
      <c r="J34" s="20"/>
      <c r="K34" s="20"/>
      <c r="L34" s="121"/>
    </row>
    <row r="35" spans="2:14" ht="20.100000000000001" customHeight="1">
      <c r="B35" s="29" t="s">
        <v>242</v>
      </c>
      <c r="F35" s="121"/>
      <c r="G35" s="20"/>
      <c r="H35" s="20"/>
      <c r="I35" s="20"/>
      <c r="J35" s="20"/>
      <c r="K35" s="20"/>
      <c r="L35" s="121"/>
      <c r="N35" s="76"/>
    </row>
    <row r="36" spans="2:14">
      <c r="C36" s="4" t="s">
        <v>23</v>
      </c>
      <c r="D36" s="4"/>
      <c r="E36" s="120">
        <v>0</v>
      </c>
      <c r="F36" s="125"/>
      <c r="G36" s="20"/>
      <c r="H36" s="130" t="s">
        <v>24</v>
      </c>
      <c r="I36" s="136">
        <f>IF('Cálculo subvención P3'!E27+I29&gt;0,IF('Cálculo subvención P3'!E36&gt;0,IF('Cálculo subvención P3'!E29&gt;1,IF('Cálculo subvención P3'!E36&gt;12000,12000,IF('Cálculo subvención P3'!E36&gt;'Cálculo subvención P3'!E29*1000, 'Cálculo subvención P3'!E29*1000,'Cálculo subvención P3'!E36)),IF('Cálculo subvención P3'!E36&gt;1000,1000,'Cálculo subvención P3'!E36)),0),0)</f>
        <v>0</v>
      </c>
      <c r="J36" s="20"/>
      <c r="K36" s="20"/>
      <c r="L36" s="121"/>
    </row>
    <row r="37" spans="2:14">
      <c r="C37" s="90" t="s">
        <v>245</v>
      </c>
      <c r="D37" s="90"/>
      <c r="E37" s="26">
        <f>IF(E26&gt;0,IF(E36&gt;0,IF('Cálculo subvención P3'!I36&gt;I38,I38,'Cálculo subvención P3'!I36),0),0)</f>
        <v>0</v>
      </c>
      <c r="F37" s="121"/>
      <c r="G37" s="136"/>
      <c r="H37" s="20"/>
      <c r="I37" s="20"/>
      <c r="J37" s="20"/>
      <c r="K37" s="20"/>
      <c r="L37" s="121"/>
    </row>
    <row r="38" spans="2:14" ht="10.5" hidden="1" customHeight="1">
      <c r="F38" s="121"/>
      <c r="G38" s="136"/>
      <c r="H38" s="130" t="s">
        <v>25</v>
      </c>
      <c r="I38" s="136">
        <f>IF(E27+I29&gt;0,IF(E36&gt;0,IF(E29&gt;0,E29*1000,E36),0),0)</f>
        <v>0</v>
      </c>
      <c r="J38" s="20"/>
      <c r="K38" s="20"/>
      <c r="L38" s="121"/>
    </row>
    <row r="39" spans="2:14" ht="20.100000000000001" hidden="1" customHeight="1">
      <c r="B39" s="29" t="s">
        <v>243</v>
      </c>
      <c r="F39" s="121"/>
      <c r="G39" s="136"/>
      <c r="H39" s="130"/>
      <c r="I39" s="136"/>
      <c r="J39" s="20"/>
      <c r="K39" s="20"/>
      <c r="L39" s="121"/>
    </row>
    <row r="40" spans="2:14" ht="20.100000000000001" hidden="1" customHeight="1">
      <c r="C40" s="5" t="s">
        <v>244</v>
      </c>
      <c r="D40" s="5"/>
      <c r="F40" s="121"/>
      <c r="G40" s="136"/>
      <c r="H40" s="130"/>
      <c r="I40" s="136"/>
      <c r="J40" s="20"/>
      <c r="K40" s="20"/>
      <c r="L40" s="121"/>
    </row>
    <row r="41" spans="2:14" ht="16.5" hidden="1" customHeight="1">
      <c r="C41" s="4" t="s">
        <v>249</v>
      </c>
      <c r="D41" s="4"/>
      <c r="E41" s="23">
        <v>0</v>
      </c>
      <c r="F41" s="121"/>
      <c r="G41" s="136"/>
      <c r="H41" s="130"/>
      <c r="I41" s="136"/>
      <c r="J41" s="20"/>
      <c r="K41" s="20"/>
      <c r="L41" s="121"/>
    </row>
    <row r="42" spans="2:14" hidden="1">
      <c r="C42" s="90" t="s">
        <v>250</v>
      </c>
      <c r="D42" s="90"/>
      <c r="E42" s="26">
        <f>-E41</f>
        <v>0</v>
      </c>
      <c r="F42" s="121"/>
      <c r="G42" s="136"/>
      <c r="H42" s="20"/>
      <c r="I42" s="20"/>
      <c r="J42" s="20"/>
      <c r="K42" s="20"/>
      <c r="L42" s="121"/>
    </row>
    <row r="43" spans="2:14" ht="20.100000000000001" customHeight="1">
      <c r="F43" s="121"/>
      <c r="G43" s="20" t="s">
        <v>13</v>
      </c>
      <c r="H43" s="20"/>
      <c r="I43" s="130" t="s">
        <v>14</v>
      </c>
      <c r="J43" s="20"/>
      <c r="K43" s="20"/>
      <c r="L43" s="121"/>
    </row>
    <row r="44" spans="2:14" ht="17.25" customHeight="1">
      <c r="B44" s="139" t="s">
        <v>257</v>
      </c>
      <c r="C44" s="140"/>
      <c r="D44" s="140"/>
      <c r="E44" s="141"/>
      <c r="F44" s="121"/>
      <c r="G44" s="131"/>
      <c r="H44" s="132"/>
      <c r="I44" s="133"/>
      <c r="J44" s="133"/>
      <c r="K44" s="20"/>
      <c r="L44" s="121"/>
    </row>
    <row r="45" spans="2:14" ht="15.75" customHeight="1" thickBot="1">
      <c r="F45" s="121"/>
      <c r="G45" s="136"/>
      <c r="H45" s="130"/>
      <c r="I45" s="136"/>
      <c r="J45" s="20"/>
      <c r="K45" s="20"/>
      <c r="L45" s="121"/>
    </row>
    <row r="46" spans="2:14" ht="16.5" thickBot="1">
      <c r="C46" s="32" t="str">
        <f>IF(E36=0,IF(E32=0,"Subvención Viv","Subvención Viv+Local"),IF(E32=0,"Subvención Viv+Amianto","Subvención Viv+Local+Amianto"))</f>
        <v>Subvención Viv</v>
      </c>
      <c r="D46" s="32"/>
      <c r="E46" s="85">
        <f>IF(F21="No",0,IF(E27&lt;'Cálculo subvención P3'!I32,E27+E37,'Cálculo subvención P3'!I32+E37))+E42</f>
        <v>40000</v>
      </c>
      <c r="F46" s="121"/>
      <c r="G46" s="138"/>
      <c r="H46" s="20"/>
      <c r="I46" s="20"/>
      <c r="J46" s="20"/>
      <c r="K46" s="20"/>
      <c r="L46" s="121"/>
    </row>
    <row r="47" spans="2:14" ht="5.25" customHeight="1">
      <c r="F47" s="121"/>
      <c r="G47" s="126"/>
      <c r="H47" s="121"/>
      <c r="I47" s="121"/>
      <c r="J47" s="121"/>
      <c r="K47" s="121"/>
      <c r="L47" s="121"/>
    </row>
    <row r="48" spans="2:14" ht="15.75">
      <c r="C48" s="31" t="s">
        <v>26</v>
      </c>
      <c r="D48" s="31"/>
      <c r="E48" s="27">
        <f>+E46/2</f>
        <v>20000</v>
      </c>
      <c r="F48" s="127"/>
      <c r="G48" s="128"/>
      <c r="H48" s="121"/>
      <c r="I48" s="121"/>
      <c r="J48" s="121"/>
      <c r="K48" s="121"/>
      <c r="L48" s="121"/>
    </row>
    <row r="49" spans="6:12">
      <c r="F49" s="121"/>
      <c r="G49" s="121"/>
      <c r="H49" s="121"/>
      <c r="I49" s="121"/>
      <c r="J49" s="121"/>
      <c r="K49" s="121"/>
      <c r="L49" s="121"/>
    </row>
    <row r="50" spans="6:12">
      <c r="F50" s="121"/>
      <c r="G50" s="121"/>
      <c r="H50" s="121"/>
      <c r="I50" s="121"/>
      <c r="J50" s="121"/>
      <c r="K50" s="121"/>
      <c r="L50" s="121"/>
    </row>
    <row r="51" spans="6:12" ht="15.75">
      <c r="F51" s="129"/>
      <c r="G51" s="124"/>
      <c r="H51" s="121"/>
      <c r="I51" s="121"/>
      <c r="J51" s="121"/>
      <c r="K51" s="121"/>
      <c r="L51" s="121"/>
    </row>
  </sheetData>
  <sheetProtection password="EACB" sheet="1" objects="1" scenarios="1"/>
  <mergeCells count="14">
    <mergeCell ref="B44:E44"/>
    <mergeCell ref="B8:K8"/>
    <mergeCell ref="B23:E23"/>
    <mergeCell ref="G11:J11"/>
    <mergeCell ref="B6:K6"/>
    <mergeCell ref="B10:K10"/>
    <mergeCell ref="B17:E17"/>
    <mergeCell ref="G21:H21"/>
    <mergeCell ref="B11:E11"/>
    <mergeCell ref="C12:E12"/>
    <mergeCell ref="C13:E13"/>
    <mergeCell ref="C14:E14"/>
    <mergeCell ref="B21:C21"/>
    <mergeCell ref="B19:C19"/>
  </mergeCells>
  <dataValidations count="4">
    <dataValidation type="whole" allowBlank="1" showInputMessage="1" showErrorMessage="1" error="Valor entre 1 y 99" sqref="G48 F36">
      <formula1>1</formula1>
      <formula2>100</formula2>
    </dataValidation>
    <dataValidation type="whole" allowBlank="1" showInputMessage="1" showErrorMessage="1" error="Valor entre 1 y 99" sqref="E29">
      <formula1>0</formula1>
      <formula2>99999</formula2>
    </dataValidation>
    <dataValidation type="list" allowBlank="1" showInputMessage="1" showErrorMessage="1" sqref="F21">
      <formula1>$J$25:$J$27</formula1>
    </dataValidation>
    <dataValidation type="list" allowBlank="1" showInputMessage="1" showErrorMessage="1" sqref="E19">
      <formula1>$M$12:$M$16</formula1>
    </dataValidation>
  </dataValidations>
  <pageMargins left="0.7" right="0.7" top="0.75" bottom="0.75" header="0.3" footer="0.3"/>
  <pageSetup paperSize="9" orientation="portrait" r:id="rId1"/>
  <ignoredErrors>
    <ignoredError sqref="I36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Zona_climatica!$A$2:$A$181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10" zoomScaleNormal="100" workbookViewId="0">
      <selection activeCell="D33" sqref="D33"/>
    </sheetView>
  </sheetViews>
  <sheetFormatPr baseColWidth="10" defaultColWidth="11.42578125" defaultRowHeight="15"/>
  <cols>
    <col min="1" max="1" width="2.5703125" customWidth="1"/>
    <col min="2" max="2" width="15.7109375" customWidth="1"/>
    <col min="3" max="3" width="35.7109375" customWidth="1"/>
    <col min="4" max="4" width="25.7109375" customWidth="1"/>
    <col min="5" max="5" width="5.140625" customWidth="1"/>
    <col min="6" max="7" width="24.42578125" customWidth="1"/>
    <col min="8" max="8" width="5.140625" customWidth="1"/>
    <col min="9" max="9" width="6.7109375" customWidth="1"/>
    <col min="10" max="10" width="13.5703125" customWidth="1"/>
    <col min="11" max="11" width="13.7109375" customWidth="1"/>
  </cols>
  <sheetData>
    <row r="1" spans="1:24" s="45" customFormat="1" ht="13.5" customHeight="1"/>
    <row r="2" spans="1:24" s="45" customFormat="1"/>
    <row r="3" spans="1:24" s="45" customFormat="1"/>
    <row r="4" spans="1:24" s="45" customFormat="1"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s="45" customFormat="1"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s="45" customFormat="1" ht="20.25">
      <c r="B6" s="169" t="s">
        <v>254</v>
      </c>
      <c r="C6" s="170"/>
      <c r="D6" s="170"/>
      <c r="E6" s="170"/>
      <c r="F6" s="170"/>
      <c r="G6" s="170"/>
      <c r="H6" s="170"/>
      <c r="I6" s="170"/>
      <c r="J6" s="171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s="45" customFormat="1" ht="10.5" customHeight="1">
      <c r="B7" s="47"/>
      <c r="J7" s="48" t="s">
        <v>228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s="45" customFormat="1" ht="15.75">
      <c r="B8" s="49" t="s">
        <v>229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s="45" customFormat="1">
      <c r="B9" s="50" t="s">
        <v>241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s="45" customFormat="1" ht="12" customHeight="1">
      <c r="B10" s="154"/>
      <c r="C10" s="155"/>
      <c r="D10" s="155"/>
      <c r="E10" s="155"/>
      <c r="F10" s="155"/>
      <c r="G10" s="155"/>
      <c r="H10" s="155"/>
      <c r="I10" s="155"/>
      <c r="J10" s="155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4.95" customHeight="1" thickBot="1">
      <c r="A11" s="28"/>
      <c r="B11" s="176" t="s">
        <v>27</v>
      </c>
      <c r="C11" s="176"/>
      <c r="D11" s="176"/>
      <c r="E11" s="29"/>
      <c r="F11" s="179" t="s">
        <v>231</v>
      </c>
      <c r="G11" s="180"/>
      <c r="H11" s="180"/>
      <c r="I11" s="180"/>
    </row>
    <row r="12" spans="1:24" ht="30" customHeight="1">
      <c r="B12" s="107" t="s">
        <v>255</v>
      </c>
      <c r="C12" s="172"/>
      <c r="D12" s="173"/>
      <c r="F12" s="94" t="s">
        <v>1</v>
      </c>
      <c r="G12" s="95" t="s">
        <v>28</v>
      </c>
      <c r="H12" s="96"/>
      <c r="I12" s="177" t="s">
        <v>29</v>
      </c>
      <c r="J12" s="178"/>
      <c r="L12" s="93" t="s">
        <v>253</v>
      </c>
    </row>
    <row r="13" spans="1:24" ht="21.95" customHeight="1">
      <c r="B13" s="21" t="s">
        <v>30</v>
      </c>
      <c r="C13" s="172" t="str">
        <f>IF('Cálculo subvención P3'!C13:E13="","",'Cálculo subvención P3'!C13:E13)</f>
        <v/>
      </c>
      <c r="D13" s="173"/>
      <c r="F13" s="97" t="s">
        <v>4</v>
      </c>
      <c r="G13" s="98"/>
      <c r="H13" s="96"/>
      <c r="I13" s="99">
        <v>2019</v>
      </c>
      <c r="J13" s="100">
        <v>7519.59</v>
      </c>
    </row>
    <row r="14" spans="1:24" ht="21.95" customHeight="1">
      <c r="B14" s="21" t="s">
        <v>31</v>
      </c>
      <c r="C14" s="174" t="str">
        <f>IF('Cálculo subvención P3'!C14:E14="","",'Cálculo subvención P3'!C14:E14)</f>
        <v/>
      </c>
      <c r="D14" s="175"/>
      <c r="F14" s="101" t="s">
        <v>6</v>
      </c>
      <c r="G14" s="102">
        <v>20250</v>
      </c>
      <c r="H14" s="96"/>
      <c r="I14" s="101">
        <v>2020</v>
      </c>
      <c r="J14" s="103">
        <v>7519.59</v>
      </c>
    </row>
    <row r="15" spans="1:24" ht="21.95" customHeight="1">
      <c r="F15" s="101" t="s">
        <v>8</v>
      </c>
      <c r="G15" s="102">
        <v>22308</v>
      </c>
      <c r="H15" s="96"/>
      <c r="I15" s="101">
        <v>2021</v>
      </c>
      <c r="J15" s="103">
        <v>7908.6</v>
      </c>
    </row>
    <row r="16" spans="1:24" ht="21.95" customHeight="1" thickBot="1">
      <c r="F16" s="104" t="s">
        <v>9</v>
      </c>
      <c r="G16" s="105">
        <v>26750</v>
      </c>
      <c r="H16" s="96"/>
      <c r="I16" s="104">
        <v>2022</v>
      </c>
      <c r="J16" s="106">
        <v>8106.28</v>
      </c>
      <c r="L16" s="19"/>
      <c r="M16" s="19"/>
    </row>
    <row r="17" spans="3:13">
      <c r="C17" s="2" t="s">
        <v>32</v>
      </c>
      <c r="D17" s="22"/>
      <c r="L17" s="19"/>
      <c r="M17" s="19"/>
    </row>
    <row r="18" spans="3:13">
      <c r="F18" s="20"/>
      <c r="G18" s="34">
        <f>IF('Cálculo subvención P3'!F21="No",0,IF('Cálculo subvención P3'!E19='Cálculo subvención P3'!G13,0,IF('Cálculo subvención P3'!E19='Cálculo subvención P3'!G14,Vulnerabilidad!G14,IF('Cálculo subvención P3'!E19='Cálculo subvención P3'!G15,Vulnerabilidad!G15,Vulnerabilidad!G16))))</f>
        <v>20250</v>
      </c>
      <c r="H18" s="20"/>
      <c r="I18" s="20">
        <v>0</v>
      </c>
      <c r="J18" s="20">
        <v>0</v>
      </c>
      <c r="L18" s="19"/>
      <c r="M18" s="19"/>
    </row>
    <row r="19" spans="3:13">
      <c r="C19" s="3" t="s">
        <v>33</v>
      </c>
      <c r="D19" s="23">
        <v>0</v>
      </c>
      <c r="F19" s="20"/>
      <c r="G19" s="20"/>
      <c r="H19" s="20"/>
      <c r="I19" s="20">
        <v>1</v>
      </c>
      <c r="J19" s="20">
        <v>1</v>
      </c>
      <c r="L19" s="19"/>
      <c r="M19" s="19"/>
    </row>
    <row r="20" spans="3:13">
      <c r="F20" s="20"/>
      <c r="G20" s="20"/>
      <c r="H20" s="20"/>
      <c r="I20" s="20">
        <v>2</v>
      </c>
      <c r="J20" s="20" t="s">
        <v>34</v>
      </c>
      <c r="L20" s="19"/>
      <c r="M20" s="19"/>
    </row>
    <row r="21" spans="3:13">
      <c r="C21" s="2" t="s">
        <v>35</v>
      </c>
      <c r="D21" s="22">
        <v>0</v>
      </c>
      <c r="F21" s="20"/>
      <c r="G21" s="20"/>
      <c r="H21" s="20"/>
      <c r="I21" s="20" t="s">
        <v>36</v>
      </c>
      <c r="J21" s="20"/>
      <c r="L21" s="19"/>
      <c r="M21" s="19"/>
    </row>
    <row r="22" spans="3:13">
      <c r="F22" s="20"/>
      <c r="G22" s="20"/>
      <c r="H22" s="20"/>
      <c r="I22" s="20"/>
      <c r="J22" s="20"/>
      <c r="L22" s="19"/>
      <c r="M22" s="19"/>
    </row>
    <row r="23" spans="3:13">
      <c r="C23" s="2" t="s">
        <v>37</v>
      </c>
      <c r="D23" s="22">
        <v>0</v>
      </c>
      <c r="F23" s="20" t="s">
        <v>29</v>
      </c>
      <c r="G23" s="35" t="str">
        <f>IF(Vulnerabilidad!D17=Vulnerabilidad!I37,"",IF(Vulnerabilidad!D17=Vulnerabilidad!I13,Vulnerabilidad!J13,IF(Vulnerabilidad!D17=Vulnerabilidad!I14,Vulnerabilidad!J14,IF(Vulnerabilidad!D17=Vulnerabilidad!I15,Vulnerabilidad!J15,IF(Vulnerabilidad!D17=Vulnerabilidad!I16,Vulnerabilidad!J16)))))</f>
        <v/>
      </c>
      <c r="H23" s="20"/>
      <c r="I23" s="20"/>
      <c r="J23" s="20"/>
      <c r="L23" s="19"/>
      <c r="M23" s="19"/>
    </row>
    <row r="24" spans="3:13">
      <c r="F24" s="20"/>
      <c r="G24" s="20"/>
      <c r="H24" s="20"/>
      <c r="I24" s="20"/>
      <c r="J24" s="20"/>
      <c r="L24" s="19"/>
      <c r="M24" s="19"/>
    </row>
    <row r="25" spans="3:13">
      <c r="C25" s="33" t="s">
        <v>38</v>
      </c>
      <c r="D25" s="30" t="str">
        <f>IF(D17="","No tiene vulnerabilidad",IF(Vulnerabilidad!G28+Vulnerabilidad!I28&gt;0,"3 veces IPREM",IF(Vulnerabilidad!G27+Vulnerabilidad!I27&gt;0,"2,7 veces IPREM",IF(Vulnerabilidad!G26+Vulnerabilidad!I26&gt;0,"2,5 veces IPREM",IF(Vulnerabilidad!G25+Vulnerabilidad!I25&gt;0,"2 veces IPREM","No tiene vulnerabilidad")))))</f>
        <v>No tiene vulnerabilidad</v>
      </c>
      <c r="F25" s="36" t="str">
        <f>IF(G18&gt;0,IF(Vulnerabilidad!D21=0,IF(Vulnerabilidad!D23=0,IF(Vulnerabilidad!D19&gt;Vulnerabilidad!J13*2,"No","Sí"),"No"),"No"),0)</f>
        <v>Sí</v>
      </c>
      <c r="G25" s="34">
        <f>IF(Vulnerabilidad!D17="",0,IF(Vulnerabilidad!D21=0,IF(Vulnerabilidad!D19&gt;G23*2,0,G23*2),0))</f>
        <v>0</v>
      </c>
      <c r="H25" s="20"/>
      <c r="I25" s="34">
        <f>IF(Vulnerabilidad!D17="",0,IF(Vulnerabilidad!D23=0,IF(Vulnerabilidad!D19&gt;G23*2,0,G23*2),0))</f>
        <v>0</v>
      </c>
      <c r="J25" s="37">
        <v>2019</v>
      </c>
      <c r="L25" s="19"/>
      <c r="M25" s="19"/>
    </row>
    <row r="26" spans="3:13">
      <c r="F26" s="36" t="str">
        <f>IF(G18&gt;0,IF(Vulnerabilidad!D21=1,IF(Vulnerabilidad!D23=1,IF(Vulnerabilidad!D19&gt;Vulnerabilidad!J13*2.5,"No","Sí"),"No"),"No"),0)</f>
        <v>No</v>
      </c>
      <c r="G26" s="34">
        <f>IF(Vulnerabilidad!D17="",0,IF(Vulnerabilidad!D21=1,IF(Vulnerabilidad!D19&gt;G23*2.5,0,G23*2.5),0))</f>
        <v>0</v>
      </c>
      <c r="H26" s="20"/>
      <c r="I26" s="34">
        <f>IF(Vulnerabilidad!D17="",0,IF(Vulnerabilidad!D23=1,IF(Vulnerabilidad!D19&gt;G23*2.5,0,G23*2.5),0))</f>
        <v>0</v>
      </c>
      <c r="J26" s="37">
        <v>2020</v>
      </c>
      <c r="L26" s="19"/>
      <c r="M26" s="19"/>
    </row>
    <row r="27" spans="3:13">
      <c r="F27" s="36" t="str">
        <f>IF(G18&gt;0,IF(Vulnerabilidad!D21=2,IF(Vulnerabilidad!D23="2 o más",IF(Vulnerabilidad!D19&gt;Vulnerabilidad!J13*2.7,"No","Sí"),"No"),"No"),0)</f>
        <v>No</v>
      </c>
      <c r="G27" s="34">
        <f>IF(Vulnerabilidad!D17="",0,IF(Vulnerabilidad!D21=2,IF(Vulnerabilidad!D19&gt;G23*2.7,0,G23*2.7),0))</f>
        <v>0</v>
      </c>
      <c r="H27" s="20"/>
      <c r="I27" s="34">
        <f>IF(Vulnerabilidad!D17="",0,IF(Vulnerabilidad!D23=J20,IF(Vulnerabilidad!D19&gt;G23*2.7,0,G23*2.7),0))</f>
        <v>0</v>
      </c>
      <c r="J27" s="37">
        <v>2021</v>
      </c>
      <c r="L27" s="19"/>
      <c r="M27" s="19"/>
    </row>
    <row r="28" spans="3:13">
      <c r="C28" s="33" t="s">
        <v>39</v>
      </c>
      <c r="D28" s="26">
        <f>IF(D25="No tiene vulnerabilidad",0,IF(Vulnerabilidad!G18&gt;Vulnerabilidad!G30,Vulnerabilidad!G30,Vulnerabilidad!G18))</f>
        <v>0</v>
      </c>
      <c r="F28" s="20"/>
      <c r="G28" s="34">
        <f>IF(Vulnerabilidad!D17="",0,IF(Vulnerabilidad!D21=I21,IF(Vulnerabilidad!D19&gt;G23*3,0,G23*3),0))</f>
        <v>0</v>
      </c>
      <c r="H28" s="20"/>
      <c r="I28" s="34">
        <f>IF(Vulnerabilidad!D17="",0,IF(Vulnerabilidad!D23=J20,IF(Vulnerabilidad!D19&gt;G23*3,0,G23*3),0))</f>
        <v>0</v>
      </c>
      <c r="J28" s="37">
        <v>2022</v>
      </c>
      <c r="L28" s="19"/>
      <c r="M28" s="19"/>
    </row>
    <row r="29" spans="3:13">
      <c r="F29" s="20"/>
      <c r="G29" s="20"/>
      <c r="H29" s="20"/>
      <c r="I29" s="20"/>
      <c r="J29" s="20"/>
      <c r="L29" s="19"/>
      <c r="M29" s="19"/>
    </row>
    <row r="30" spans="3:13" ht="15.75">
      <c r="C30" s="32" t="s">
        <v>40</v>
      </c>
      <c r="D30" s="27">
        <f>IF(D28&gt;0,D28-'Cálculo subvención P3'!G29,0)</f>
        <v>0</v>
      </c>
      <c r="F30" s="20" t="s">
        <v>41</v>
      </c>
      <c r="G30" s="34">
        <f>IF(G18&gt;0,'Cálculo subvención P3'!E26/('Cálculo subvención P3'!E29+'Cálculo subvención P3'!E31),0)</f>
        <v>826.44628099173553</v>
      </c>
      <c r="H30" s="20"/>
      <c r="I30" s="20"/>
      <c r="J30" s="20"/>
      <c r="L30" s="19"/>
      <c r="M30" s="19"/>
    </row>
    <row r="31" spans="3:13">
      <c r="K31" s="19"/>
      <c r="L31" s="19"/>
      <c r="M31" s="19"/>
    </row>
    <row r="32" spans="3:13">
      <c r="K32" s="19"/>
      <c r="L32" s="19"/>
      <c r="M32" s="19"/>
    </row>
    <row r="33" spans="11:13">
      <c r="K33" s="19"/>
      <c r="L33" s="19"/>
      <c r="M33" s="19"/>
    </row>
  </sheetData>
  <sheetProtection password="EAA2"/>
  <mergeCells count="8">
    <mergeCell ref="B6:J6"/>
    <mergeCell ref="B10:J10"/>
    <mergeCell ref="C13:D13"/>
    <mergeCell ref="C14:D14"/>
    <mergeCell ref="B11:D11"/>
    <mergeCell ref="C12:D12"/>
    <mergeCell ref="I12:J12"/>
    <mergeCell ref="F11:I11"/>
  </mergeCells>
  <conditionalFormatting sqref="D25">
    <cfRule type="containsText" dxfId="0" priority="1" operator="containsText" text="No tiene vulnerabilidad">
      <formula>NOT(ISERROR(SEARCH("No tiene vulnerabilidad",D25)))</formula>
    </cfRule>
  </conditionalFormatting>
  <dataValidations count="3">
    <dataValidation type="list" allowBlank="1" showInputMessage="1" showErrorMessage="1" sqref="D17">
      <formula1>$J$24:$J$28</formula1>
    </dataValidation>
    <dataValidation type="list" allowBlank="1" showInputMessage="1" showErrorMessage="1" sqref="D21">
      <formula1>$I$18:$I$21</formula1>
    </dataValidation>
    <dataValidation type="list" allowBlank="1" showInputMessage="1" showErrorMessage="1" sqref="D23">
      <formula1>$J$18:$J$20</formula1>
    </dataValidation>
  </dataValidations>
  <pageMargins left="0.7" right="0.7" top="0.75" bottom="0.75" header="0.3" footer="0.3"/>
  <pageSetup paperSize="9" orientation="portrait" r:id="rId1"/>
  <ignoredErrors>
    <ignoredError sqref="C1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47"/>
  <sheetViews>
    <sheetView zoomScaleNormal="100" workbookViewId="0">
      <selection activeCell="F3" sqref="F3"/>
    </sheetView>
  </sheetViews>
  <sheetFormatPr baseColWidth="10" defaultColWidth="11.42578125" defaultRowHeight="15"/>
  <cols>
    <col min="1" max="1" width="3" customWidth="1"/>
    <col min="2" max="2" width="15.7109375" customWidth="1"/>
    <col min="3" max="3" width="35.7109375" customWidth="1"/>
    <col min="4" max="4" width="25.7109375" customWidth="1"/>
    <col min="5" max="5" width="8.85546875" customWidth="1"/>
    <col min="6" max="6" width="21.42578125" customWidth="1"/>
    <col min="7" max="7" width="17.7109375" customWidth="1"/>
    <col min="8" max="9" width="14.7109375" customWidth="1"/>
    <col min="10" max="10" width="1.7109375" customWidth="1"/>
    <col min="12" max="12" width="24.7109375" customWidth="1"/>
  </cols>
  <sheetData>
    <row r="1" spans="2:24" s="45" customFormat="1" ht="13.5" customHeight="1"/>
    <row r="2" spans="2:24" s="45" customFormat="1"/>
    <row r="3" spans="2:24" s="45" customFormat="1"/>
    <row r="4" spans="2:24" s="45" customFormat="1"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2:24" s="45" customFormat="1"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2:24" s="45" customFormat="1" ht="20.25">
      <c r="B6" s="169" t="s">
        <v>238</v>
      </c>
      <c r="C6" s="170"/>
      <c r="D6" s="170"/>
      <c r="E6" s="170"/>
      <c r="F6" s="170"/>
      <c r="G6" s="170"/>
      <c r="H6" s="170"/>
      <c r="I6" s="170"/>
      <c r="J6" s="171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2:24" s="45" customFormat="1" ht="10.5" customHeight="1">
      <c r="B7" s="47"/>
      <c r="J7" s="48" t="s">
        <v>228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2:24" s="45" customFormat="1" ht="15.75">
      <c r="B8" s="49" t="s">
        <v>247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2:24" s="45" customFormat="1">
      <c r="B9" s="50" t="s">
        <v>241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2:24" s="45" customFormat="1" ht="12" customHeight="1">
      <c r="B10" s="154"/>
      <c r="C10" s="155"/>
      <c r="D10" s="155"/>
      <c r="E10" s="155"/>
      <c r="F10" s="155"/>
      <c r="G10" s="155"/>
      <c r="H10" s="155"/>
      <c r="I10" s="155"/>
      <c r="J10" s="155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2:24" ht="30" customHeight="1" thickBot="1">
      <c r="B11" s="184" t="s">
        <v>246</v>
      </c>
      <c r="C11" s="184"/>
      <c r="D11" s="184"/>
      <c r="F11" s="149" t="s">
        <v>231</v>
      </c>
      <c r="G11" s="150"/>
      <c r="H11" s="150"/>
      <c r="I11" s="150"/>
    </row>
    <row r="12" spans="2:24" ht="48.75" customHeight="1">
      <c r="B12" s="52" t="s">
        <v>0</v>
      </c>
      <c r="C12" s="185"/>
      <c r="D12" s="186"/>
      <c r="F12" s="67" t="s">
        <v>1</v>
      </c>
      <c r="G12" s="68" t="s">
        <v>2</v>
      </c>
      <c r="H12" s="68" t="s">
        <v>239</v>
      </c>
      <c r="I12" s="69" t="s">
        <v>240</v>
      </c>
      <c r="L12" s="20" t="s">
        <v>236</v>
      </c>
    </row>
    <row r="13" spans="2:24" ht="21.95" customHeight="1">
      <c r="B13" s="43" t="s">
        <v>3</v>
      </c>
      <c r="C13" s="172"/>
      <c r="D13" s="173"/>
      <c r="F13" s="63" t="s">
        <v>4</v>
      </c>
      <c r="G13" s="6">
        <v>0</v>
      </c>
      <c r="H13" s="7">
        <v>0</v>
      </c>
      <c r="I13" s="8">
        <v>0</v>
      </c>
      <c r="L13" s="70" t="s">
        <v>4</v>
      </c>
    </row>
    <row r="14" spans="2:24" ht="21.95" customHeight="1">
      <c r="B14" s="43" t="s">
        <v>5</v>
      </c>
      <c r="C14" s="187"/>
      <c r="D14" s="188"/>
      <c r="F14" s="64" t="s">
        <v>6</v>
      </c>
      <c r="G14" s="9">
        <v>0.4</v>
      </c>
      <c r="H14" s="10">
        <v>8100</v>
      </c>
      <c r="I14" s="11">
        <v>72</v>
      </c>
      <c r="L14" s="71" t="s">
        <v>6</v>
      </c>
    </row>
    <row r="15" spans="2:24" ht="21.95" customHeight="1">
      <c r="B15" s="77" t="s">
        <v>7</v>
      </c>
      <c r="C15" s="51" t="s">
        <v>236</v>
      </c>
      <c r="D15" s="41" t="str">
        <f>IF(C15="","",LOOKUP(C15, Zona_climatica!A2:A181, Zona_climatica!C2:C181))</f>
        <v>D3</v>
      </c>
      <c r="F15" s="64" t="s">
        <v>8</v>
      </c>
      <c r="G15" s="9">
        <v>0.65</v>
      </c>
      <c r="H15" s="10">
        <v>14500</v>
      </c>
      <c r="I15" s="11">
        <v>130</v>
      </c>
      <c r="L15" s="71" t="s">
        <v>8</v>
      </c>
    </row>
    <row r="16" spans="2:24" ht="21.95" customHeight="1" thickBot="1">
      <c r="F16" s="65" t="s">
        <v>9</v>
      </c>
      <c r="G16" s="12">
        <v>0.8</v>
      </c>
      <c r="H16" s="13">
        <v>21400</v>
      </c>
      <c r="I16" s="14">
        <v>192</v>
      </c>
      <c r="L16" s="71" t="s">
        <v>9</v>
      </c>
    </row>
    <row r="17" spans="2:12" ht="17.25" customHeight="1">
      <c r="B17" s="181" t="s">
        <v>230</v>
      </c>
      <c r="C17" s="182"/>
      <c r="D17" s="183"/>
      <c r="F17" s="54"/>
      <c r="G17" s="55"/>
      <c r="H17" s="56"/>
      <c r="I17" s="56"/>
      <c r="L17" s="20"/>
    </row>
    <row r="18" spans="2:12" ht="6.75" customHeight="1">
      <c r="B18" s="60"/>
      <c r="C18" s="61"/>
      <c r="D18" s="62"/>
      <c r="F18" s="54"/>
      <c r="G18" s="55"/>
      <c r="H18" s="56"/>
      <c r="I18" s="56"/>
      <c r="L18" s="20"/>
    </row>
    <row r="19" spans="2:12" ht="36.75" customHeight="1">
      <c r="B19" s="189" t="s">
        <v>10</v>
      </c>
      <c r="C19" s="190"/>
      <c r="D19" s="59" t="s">
        <v>236</v>
      </c>
      <c r="F19" s="19"/>
      <c r="G19" s="19"/>
      <c r="H19" s="19" t="s">
        <v>236</v>
      </c>
      <c r="I19" s="19"/>
    </row>
    <row r="20" spans="2:12" ht="10.5" customHeight="1">
      <c r="F20" s="19"/>
      <c r="G20" s="19"/>
      <c r="H20" s="19"/>
      <c r="I20" s="19"/>
    </row>
    <row r="21" spans="2:12" ht="36.75" customHeight="1">
      <c r="B21" s="167" t="s">
        <v>11</v>
      </c>
      <c r="C21" s="167"/>
      <c r="D21" s="42" t="str">
        <f>IF(D15="C3","&gt;25 %",IF(D15="","","&gt;35 %"))</f>
        <v>&gt;35 %</v>
      </c>
      <c r="E21" s="51" t="s">
        <v>236</v>
      </c>
      <c r="F21" s="191"/>
      <c r="G21" s="191"/>
      <c r="H21" s="19"/>
      <c r="I21" s="44"/>
    </row>
    <row r="22" spans="2:12" ht="20.100000000000001" customHeight="1">
      <c r="E22" s="57"/>
      <c r="F22" s="57" t="s">
        <v>13</v>
      </c>
      <c r="G22" s="57"/>
      <c r="H22" s="5" t="s">
        <v>14</v>
      </c>
      <c r="I22" s="57"/>
    </row>
    <row r="23" spans="2:12" ht="17.25" customHeight="1">
      <c r="B23" s="181" t="s">
        <v>234</v>
      </c>
      <c r="C23" s="182"/>
      <c r="D23" s="183"/>
      <c r="E23" s="57"/>
      <c r="F23" s="78"/>
      <c r="G23" s="81"/>
      <c r="H23" s="82"/>
      <c r="I23" s="82"/>
    </row>
    <row r="24" spans="2:12" ht="6.75" customHeight="1">
      <c r="B24" s="60"/>
      <c r="C24" s="61"/>
      <c r="D24" s="73"/>
      <c r="E24" s="57"/>
      <c r="F24" s="78"/>
      <c r="G24" s="81"/>
      <c r="H24" s="82"/>
      <c r="I24" s="82"/>
    </row>
    <row r="25" spans="2:12" ht="15.75">
      <c r="C25" s="77" t="s">
        <v>232</v>
      </c>
      <c r="D25" s="74">
        <v>100000</v>
      </c>
      <c r="E25" s="57"/>
      <c r="F25" s="16">
        <f>IF('Cálculo subvención P5'!E20="No",0,IF('Cálculo subvención P5'!D26&lt;H31,'Cálculo subvención P5'!D26,H31))</f>
        <v>100000</v>
      </c>
      <c r="G25" s="57"/>
      <c r="H25" s="57"/>
      <c r="I25" s="53" t="s">
        <v>236</v>
      </c>
    </row>
    <row r="26" spans="2:12" ht="15.75">
      <c r="C26" s="77" t="s">
        <v>233</v>
      </c>
      <c r="D26" s="23">
        <v>100000</v>
      </c>
      <c r="E26" s="57"/>
      <c r="F26" s="16">
        <f>IF('Cálculo subvención P5'!E21="No",0,IF('Cálculo subvención P5'!D27&lt;H32,'Cálculo subvención P5'!D27,H32))</f>
        <v>0</v>
      </c>
      <c r="G26" s="57"/>
      <c r="H26" s="57"/>
      <c r="I26" s="53" t="s">
        <v>12</v>
      </c>
    </row>
    <row r="27" spans="2:12">
      <c r="C27" s="18" t="str">
        <f>IF(E21='Cálculo subvención P5'!I25,"",IF(E21='Cálculo subvención P5'!I27,"",IF(D19='Cálculo subvención P5'!L12,"",IF(D19='Cálculo subvención P5'!F13,"",IF(D19='Cálculo subvención P5'!F14,'Cálculo subvención P5'!G14,IF(D19='Cálculo subvención P5'!F15,'Cálculo subvención P5'!G15,'Cálculo subvención P5'!G16))))))</f>
        <v/>
      </c>
      <c r="D27" s="17" t="str">
        <f>IF(E21="No","",IF(D19='Cálculo subvención P5'!F14,D26*'Cálculo subvención P5'!G14,IF(D19='Cálculo subvención P5'!F15,D26*'Cálculo subvención P5'!G15,IF(D19='Cálculo subvención P5'!F16,D26*'Cálculo subvención P5'!G16,""))))</f>
        <v/>
      </c>
      <c r="E27" s="57"/>
      <c r="F27" s="57"/>
      <c r="G27" s="57"/>
      <c r="H27" s="58"/>
      <c r="I27" s="53" t="s">
        <v>15</v>
      </c>
    </row>
    <row r="28" spans="2:12">
      <c r="B28" s="29" t="s">
        <v>237</v>
      </c>
      <c r="D28" s="1"/>
      <c r="E28" s="57"/>
      <c r="F28" s="57" t="s">
        <v>16</v>
      </c>
      <c r="G28" s="57"/>
      <c r="H28" s="5" t="s">
        <v>17</v>
      </c>
      <c r="I28" s="53"/>
    </row>
    <row r="29" spans="2:12" ht="15.75">
      <c r="C29" s="77" t="s">
        <v>18</v>
      </c>
      <c r="D29" s="24">
        <v>10</v>
      </c>
      <c r="E29" s="57"/>
      <c r="F29" s="79">
        <f>IF('Cálculo subvención P5'!D29=0,0,IF(H29&gt;F26,F26/('Cálculo subvención P5'!D29+'Cálculo subvención P5'!D31),H29/('Cálculo subvención P5'!D29+'Cálculo subvención P5'!D31)))</f>
        <v>0</v>
      </c>
      <c r="G29" s="57"/>
      <c r="H29" s="16">
        <f>IF('Cálculo subvención P5'!E21="No",0,IF('Cálculo subvención P5'!D19='Cálculo subvención P5'!F14,'Cálculo subvención P5'!D29*'Cálculo subvención P5'!H14,IF('Cálculo subvención P5'!D19='Cálculo subvención P5'!F15,'Cálculo subvención P5'!D29*'Cálculo subvención P5'!H15,IF('Cálculo subvención P5'!D19='Cálculo subvención P5'!F16,'Cálculo subvención P5'!D29*'Cálculo subvención P5'!H16,0))))</f>
        <v>0</v>
      </c>
      <c r="I29" s="57"/>
    </row>
    <row r="30" spans="2:12" ht="6" customHeight="1">
      <c r="E30" s="57"/>
      <c r="F30" s="57"/>
      <c r="G30" s="57"/>
      <c r="H30" s="57"/>
      <c r="I30" s="57"/>
    </row>
    <row r="31" spans="2:12">
      <c r="C31" s="3" t="s">
        <v>19</v>
      </c>
      <c r="D31" s="75">
        <v>1</v>
      </c>
      <c r="E31" s="57"/>
      <c r="F31" s="57" t="s">
        <v>20</v>
      </c>
      <c r="G31" s="57"/>
      <c r="H31" s="5" t="s">
        <v>21</v>
      </c>
      <c r="I31" s="57"/>
    </row>
    <row r="32" spans="2:12" ht="17.25">
      <c r="C32" s="3" t="s">
        <v>22</v>
      </c>
      <c r="D32" s="25">
        <v>1000</v>
      </c>
      <c r="E32" s="5"/>
      <c r="F32" s="16">
        <f>IF('Cálculo subvención P5'!E21="No",0,IF('Cálculo subvención P5'!D19='Cálculo subvención P5'!F14,'Cálculo subvención P5'!D32*'Cálculo subvención P5'!I14,IF('Cálculo subvención P5'!D19='Cálculo subvención P5'!F15,'Cálculo subvención P5'!D32*'Cálculo subvención P5'!I15,IF('Cálculo subvención P5'!D19='Cálculo subvención P5'!F16,'Cálculo subvención P5'!D32*'Cálculo subvención P5'!I16,0))))</f>
        <v>0</v>
      </c>
      <c r="G32" s="57"/>
      <c r="H32" s="58">
        <f>+H29+F32</f>
        <v>0</v>
      </c>
      <c r="I32" s="57"/>
    </row>
    <row r="33" spans="2:13" ht="15.75" customHeight="1">
      <c r="C33" s="66" t="s">
        <v>235</v>
      </c>
      <c r="D33" s="17">
        <f>H32</f>
        <v>0</v>
      </c>
      <c r="E33" s="57"/>
      <c r="F33" s="57"/>
      <c r="G33" s="57"/>
      <c r="H33" s="57"/>
      <c r="I33" s="57"/>
    </row>
    <row r="34" spans="2:13" ht="9" customHeight="1">
      <c r="C34" s="66"/>
      <c r="D34" s="17"/>
      <c r="E34" s="57"/>
      <c r="F34" s="57"/>
      <c r="G34" s="57"/>
      <c r="H34" s="57"/>
      <c r="I34" s="57"/>
    </row>
    <row r="35" spans="2:13" ht="20.100000000000001" customHeight="1">
      <c r="B35" s="29" t="s">
        <v>242</v>
      </c>
      <c r="E35" s="57"/>
      <c r="F35" s="57"/>
      <c r="G35" s="57"/>
      <c r="H35" s="57"/>
      <c r="I35" s="57"/>
      <c r="M35" s="76"/>
    </row>
    <row r="36" spans="2:13">
      <c r="C36" s="4" t="s">
        <v>23</v>
      </c>
      <c r="D36" s="23">
        <v>0</v>
      </c>
      <c r="E36" s="80"/>
      <c r="F36" s="57"/>
      <c r="G36" s="5" t="s">
        <v>24</v>
      </c>
      <c r="H36" s="58" t="e">
        <f>IF('Cálculo subvención P5'!D27+H29&gt;0,IF('Cálculo subvención P5'!D36&gt;0,IF('Cálculo subvención P5'!D29&gt;1,IF('Cálculo subvención P5'!D36&gt;12000,12000,IF('Cálculo subvención P5'!D36&gt;'Cálculo subvención P5'!D29*1000, 'Cálculo subvención P5'!D29*1000,'Cálculo subvención P5'!D36)),IF('Cálculo subvención P5'!D36&gt;1000,1000,'Cálculo subvención P5'!D36)),0),0)</f>
        <v>#VALUE!</v>
      </c>
      <c r="I36" s="57"/>
    </row>
    <row r="37" spans="2:13">
      <c r="C37" s="33" t="s">
        <v>245</v>
      </c>
      <c r="D37" s="26">
        <f>IF(D26&gt;0,IF(D36&gt;0,IF('Cálculo subvención P5'!H36&gt;H38,H38,'Cálculo subvención P5'!H36),0),0)</f>
        <v>0</v>
      </c>
      <c r="E37" s="57"/>
      <c r="F37" s="58"/>
      <c r="G37" s="57"/>
      <c r="H37" s="57"/>
      <c r="I37" s="57"/>
    </row>
    <row r="38" spans="2:13" ht="10.5" customHeight="1">
      <c r="E38" s="57"/>
      <c r="F38" s="58"/>
      <c r="G38" s="5" t="s">
        <v>25</v>
      </c>
      <c r="H38" s="58" t="e">
        <f>IF(D27+H29&gt;0,IF(D36&gt;0,IF(D29&gt;0,D29*1000,D36),0),0)</f>
        <v>#VALUE!</v>
      </c>
      <c r="I38" s="57"/>
    </row>
    <row r="39" spans="2:13" ht="20.100000000000001" customHeight="1">
      <c r="B39" s="29" t="s">
        <v>243</v>
      </c>
      <c r="E39" s="57"/>
      <c r="F39" s="58"/>
      <c r="G39" s="5"/>
      <c r="H39" s="58"/>
      <c r="I39" s="57"/>
    </row>
    <row r="40" spans="2:13" ht="20.100000000000001" customHeight="1">
      <c r="C40" s="57" t="s">
        <v>244</v>
      </c>
      <c r="E40" s="57"/>
      <c r="F40" s="58"/>
      <c r="G40" s="5"/>
      <c r="H40" s="58"/>
      <c r="I40" s="57"/>
    </row>
    <row r="41" spans="2:13" ht="20.100000000000001" customHeight="1">
      <c r="E41" s="57"/>
      <c r="F41" s="58"/>
      <c r="G41" s="5"/>
      <c r="H41" s="58"/>
      <c r="I41" s="57"/>
    </row>
    <row r="42" spans="2:13" ht="15.75">
      <c r="C42" s="32" t="str">
        <f>IF(D36=0,IF(D32=0,"Subvención Viv","Subvención Viv+Local"),IF(D32=0,"Subvención Viv+Amianto","Subvención Viv+Local+Amianto"))</f>
        <v>Subvención Viv+Local</v>
      </c>
      <c r="D42" s="72">
        <f>IF(E21="No",0,IF(D27&lt;'Cálculo subvención P5'!H32,D27+D37,'Cálculo subvención P5'!H32+D37))</f>
        <v>0</v>
      </c>
      <c r="E42" s="57"/>
      <c r="F42" s="57"/>
      <c r="G42" s="57"/>
      <c r="H42" s="57"/>
      <c r="I42" s="57"/>
    </row>
    <row r="43" spans="2:13" ht="5.25" customHeight="1">
      <c r="E43" s="57"/>
      <c r="F43" s="57"/>
      <c r="G43" s="57"/>
      <c r="H43" s="57"/>
      <c r="I43" s="57"/>
    </row>
    <row r="44" spans="2:13" ht="15.75">
      <c r="C44" s="31" t="s">
        <v>26</v>
      </c>
      <c r="D44" s="27">
        <f>+D42/2</f>
        <v>0</v>
      </c>
      <c r="E44" s="83"/>
      <c r="F44" s="80"/>
      <c r="G44" s="57"/>
      <c r="H44" s="57"/>
      <c r="I44" s="57"/>
    </row>
    <row r="45" spans="2:13">
      <c r="E45" s="57"/>
      <c r="F45" s="57"/>
      <c r="G45" s="57"/>
      <c r="H45" s="57"/>
      <c r="I45" s="57"/>
    </row>
    <row r="47" spans="2:13" ht="15.75">
      <c r="E47" s="15"/>
      <c r="F47" s="16"/>
    </row>
  </sheetData>
  <sheetProtection password="EAA2"/>
  <mergeCells count="12">
    <mergeCell ref="B23:D23"/>
    <mergeCell ref="B6:J6"/>
    <mergeCell ref="B10:J10"/>
    <mergeCell ref="B11:D11"/>
    <mergeCell ref="F11:I11"/>
    <mergeCell ref="C12:D12"/>
    <mergeCell ref="C13:D13"/>
    <mergeCell ref="C14:D14"/>
    <mergeCell ref="B17:D17"/>
    <mergeCell ref="B19:C19"/>
    <mergeCell ref="B21:C21"/>
    <mergeCell ref="F21:G21"/>
  </mergeCells>
  <dataValidations count="4">
    <dataValidation type="list" allowBlank="1" showInputMessage="1" showErrorMessage="1" sqref="D19">
      <formula1>$L$12:$L$16</formula1>
    </dataValidation>
    <dataValidation type="list" allowBlank="1" showInputMessage="1" showErrorMessage="1" sqref="E21">
      <formula1>$I$25:$I$27</formula1>
    </dataValidation>
    <dataValidation type="whole" allowBlank="1" showInputMessage="1" showErrorMessage="1" error="Valor entre 1 y 99" sqref="D29">
      <formula1>0</formula1>
      <formula2>100</formula2>
    </dataValidation>
    <dataValidation type="whole" allowBlank="1" showInputMessage="1" showErrorMessage="1" error="Valor entre 1 y 99" sqref="F44 E36">
      <formula1>1</formula1>
      <formula2>100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Zona_climatica!$A$2:$A$181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1"/>
  <sheetViews>
    <sheetView showGridLines="0" showRowColHeaders="0" workbookViewId="0">
      <selection activeCell="B14" sqref="B14"/>
    </sheetView>
  </sheetViews>
  <sheetFormatPr baseColWidth="10" defaultColWidth="11.42578125" defaultRowHeight="15"/>
  <cols>
    <col min="1" max="1" width="18.28515625" customWidth="1"/>
    <col min="3" max="3" width="17.42578125" customWidth="1"/>
  </cols>
  <sheetData>
    <row r="1" spans="1:3">
      <c r="A1" s="38" t="s">
        <v>42</v>
      </c>
      <c r="B1" s="39" t="s">
        <v>43</v>
      </c>
      <c r="C1" s="39" t="s">
        <v>44</v>
      </c>
    </row>
    <row r="2" spans="1:3">
      <c r="A2" s="38" t="s">
        <v>236</v>
      </c>
      <c r="B2" s="39"/>
      <c r="C2" s="39"/>
    </row>
    <row r="3" spans="1:3">
      <c r="A3" s="40" t="s">
        <v>45</v>
      </c>
      <c r="B3" s="40">
        <v>1269</v>
      </c>
      <c r="C3" s="39" t="s">
        <v>46</v>
      </c>
    </row>
    <row r="4" spans="1:3">
      <c r="A4" s="40" t="s">
        <v>47</v>
      </c>
      <c r="B4" s="40">
        <v>689</v>
      </c>
      <c r="C4" s="39" t="s">
        <v>48</v>
      </c>
    </row>
    <row r="5" spans="1:3">
      <c r="A5" s="40" t="s">
        <v>49</v>
      </c>
      <c r="B5" s="40">
        <v>1110</v>
      </c>
      <c r="C5" s="39" t="s">
        <v>46</v>
      </c>
    </row>
    <row r="6" spans="1:3">
      <c r="A6" s="40" t="s">
        <v>50</v>
      </c>
      <c r="B6" s="40">
        <v>608</v>
      </c>
      <c r="C6" s="39" t="s">
        <v>48</v>
      </c>
    </row>
    <row r="7" spans="1:3">
      <c r="A7" s="40" t="s">
        <v>51</v>
      </c>
      <c r="B7" s="40">
        <v>587</v>
      </c>
      <c r="C7" s="39" t="s">
        <v>48</v>
      </c>
    </row>
    <row r="8" spans="1:3">
      <c r="A8" s="40" t="s">
        <v>52</v>
      </c>
      <c r="B8" s="40">
        <v>670</v>
      </c>
      <c r="C8" s="39" t="s">
        <v>48</v>
      </c>
    </row>
    <row r="9" spans="1:3">
      <c r="A9" s="40" t="s">
        <v>53</v>
      </c>
      <c r="B9" s="40">
        <v>718</v>
      </c>
      <c r="C9" s="39" t="s">
        <v>48</v>
      </c>
    </row>
    <row r="10" spans="1:3">
      <c r="A10" s="40" t="s">
        <v>54</v>
      </c>
      <c r="B10" s="40">
        <v>476</v>
      </c>
      <c r="C10" s="39" t="s">
        <v>55</v>
      </c>
    </row>
    <row r="11" spans="1:3">
      <c r="A11" s="40" t="s">
        <v>56</v>
      </c>
      <c r="B11" s="40">
        <v>734</v>
      </c>
      <c r="C11" s="39" t="s">
        <v>48</v>
      </c>
    </row>
    <row r="12" spans="1:3">
      <c r="A12" s="40" t="s">
        <v>57</v>
      </c>
      <c r="B12" s="40">
        <v>919</v>
      </c>
      <c r="C12" s="39" t="s">
        <v>48</v>
      </c>
    </row>
    <row r="13" spans="1:3">
      <c r="A13" s="40" t="s">
        <v>58</v>
      </c>
      <c r="B13" s="40">
        <v>682</v>
      </c>
      <c r="C13" s="39" t="s">
        <v>48</v>
      </c>
    </row>
    <row r="14" spans="1:3">
      <c r="A14" s="40" t="s">
        <v>59</v>
      </c>
      <c r="B14" s="40">
        <v>771</v>
      </c>
      <c r="C14" s="39" t="s">
        <v>48</v>
      </c>
    </row>
    <row r="15" spans="1:3">
      <c r="A15" s="40" t="s">
        <v>60</v>
      </c>
      <c r="B15" s="40">
        <v>489</v>
      </c>
      <c r="C15" s="39" t="s">
        <v>55</v>
      </c>
    </row>
    <row r="16" spans="1:3">
      <c r="A16" s="40" t="s">
        <v>61</v>
      </c>
      <c r="B16" s="40">
        <v>618</v>
      </c>
      <c r="C16" s="39" t="s">
        <v>48</v>
      </c>
    </row>
    <row r="17" spans="1:3">
      <c r="A17" s="40" t="s">
        <v>62</v>
      </c>
      <c r="B17" s="40">
        <v>603</v>
      </c>
      <c r="C17" s="39" t="s">
        <v>48</v>
      </c>
    </row>
    <row r="18" spans="1:3">
      <c r="A18" s="40" t="s">
        <v>63</v>
      </c>
      <c r="B18" s="40">
        <v>995</v>
      </c>
      <c r="C18" s="39" t="s">
        <v>64</v>
      </c>
    </row>
    <row r="19" spans="1:3">
      <c r="A19" s="40" t="s">
        <v>65</v>
      </c>
      <c r="B19" s="40">
        <v>600</v>
      </c>
      <c r="C19" s="39" t="s">
        <v>48</v>
      </c>
    </row>
    <row r="20" spans="1:3">
      <c r="A20" s="40" t="s">
        <v>66</v>
      </c>
      <c r="B20" s="40">
        <v>1073</v>
      </c>
      <c r="C20" s="39" t="s">
        <v>46</v>
      </c>
    </row>
    <row r="21" spans="1:3">
      <c r="A21" s="40" t="s">
        <v>67</v>
      </c>
      <c r="B21" s="40">
        <v>735</v>
      </c>
      <c r="C21" s="39" t="s">
        <v>48</v>
      </c>
    </row>
    <row r="22" spans="1:3">
      <c r="A22" s="40" t="s">
        <v>68</v>
      </c>
      <c r="B22" s="40">
        <v>925</v>
      </c>
      <c r="C22" s="39" t="s">
        <v>48</v>
      </c>
    </row>
    <row r="23" spans="1:3">
      <c r="A23" s="40" t="s">
        <v>69</v>
      </c>
      <c r="B23" s="40">
        <v>1094</v>
      </c>
      <c r="C23" s="39" t="s">
        <v>46</v>
      </c>
    </row>
    <row r="24" spans="1:3">
      <c r="A24" s="40" t="s">
        <v>70</v>
      </c>
      <c r="B24" s="40">
        <v>689</v>
      </c>
      <c r="C24" s="39" t="s">
        <v>48</v>
      </c>
    </row>
    <row r="25" spans="1:3">
      <c r="A25" s="40" t="s">
        <v>71</v>
      </c>
      <c r="B25" s="40">
        <v>941</v>
      </c>
      <c r="C25" s="39" t="s">
        <v>48</v>
      </c>
    </row>
    <row r="26" spans="1:3">
      <c r="A26" s="40" t="s">
        <v>72</v>
      </c>
      <c r="B26" s="40">
        <v>1192</v>
      </c>
      <c r="C26" s="39" t="s">
        <v>46</v>
      </c>
    </row>
    <row r="27" spans="1:3">
      <c r="A27" s="40" t="s">
        <v>73</v>
      </c>
      <c r="B27" s="40">
        <v>715</v>
      </c>
      <c r="C27" s="39" t="s">
        <v>48</v>
      </c>
    </row>
    <row r="28" spans="1:3">
      <c r="A28" s="40" t="s">
        <v>74</v>
      </c>
      <c r="B28" s="40">
        <v>656</v>
      </c>
      <c r="C28" s="39" t="s">
        <v>48</v>
      </c>
    </row>
    <row r="29" spans="1:3">
      <c r="A29" s="40" t="s">
        <v>75</v>
      </c>
      <c r="B29" s="40">
        <v>975</v>
      </c>
      <c r="C29" s="39" t="s">
        <v>64</v>
      </c>
    </row>
    <row r="30" spans="1:3">
      <c r="A30" s="40" t="s">
        <v>76</v>
      </c>
      <c r="B30" s="40">
        <v>1222</v>
      </c>
      <c r="C30" s="39" t="s">
        <v>46</v>
      </c>
    </row>
    <row r="31" spans="1:3">
      <c r="A31" s="40" t="s">
        <v>77</v>
      </c>
      <c r="B31" s="40">
        <v>920</v>
      </c>
      <c r="C31" s="39" t="s">
        <v>48</v>
      </c>
    </row>
    <row r="32" spans="1:3">
      <c r="A32" s="40" t="s">
        <v>78</v>
      </c>
      <c r="B32" s="40">
        <v>1038</v>
      </c>
      <c r="C32" s="39" t="s">
        <v>46</v>
      </c>
    </row>
    <row r="33" spans="1:3">
      <c r="A33" s="40" t="s">
        <v>79</v>
      </c>
      <c r="B33" s="40">
        <v>802</v>
      </c>
      <c r="C33" s="39" t="s">
        <v>48</v>
      </c>
    </row>
    <row r="34" spans="1:3">
      <c r="A34" s="40" t="s">
        <v>80</v>
      </c>
      <c r="B34" s="40">
        <v>640</v>
      </c>
      <c r="C34" s="39" t="s">
        <v>48</v>
      </c>
    </row>
    <row r="35" spans="1:3">
      <c r="A35" s="40" t="s">
        <v>81</v>
      </c>
      <c r="B35" s="40">
        <v>777</v>
      </c>
      <c r="C35" s="39" t="s">
        <v>48</v>
      </c>
    </row>
    <row r="36" spans="1:3">
      <c r="A36" s="40" t="s">
        <v>82</v>
      </c>
      <c r="B36" s="40">
        <v>1150</v>
      </c>
      <c r="C36" s="39" t="s">
        <v>46</v>
      </c>
    </row>
    <row r="37" spans="1:3">
      <c r="A37" s="40" t="s">
        <v>83</v>
      </c>
      <c r="B37" s="40">
        <v>625</v>
      </c>
      <c r="C37" s="39" t="s">
        <v>48</v>
      </c>
    </row>
    <row r="38" spans="1:3">
      <c r="A38" s="40" t="s">
        <v>84</v>
      </c>
      <c r="B38" s="40">
        <v>622</v>
      </c>
      <c r="C38" s="39" t="s">
        <v>48</v>
      </c>
    </row>
    <row r="39" spans="1:3">
      <c r="A39" s="40" t="s">
        <v>85</v>
      </c>
      <c r="B39" s="40">
        <v>775</v>
      </c>
      <c r="C39" s="39" t="s">
        <v>48</v>
      </c>
    </row>
    <row r="40" spans="1:3">
      <c r="A40" s="40" t="s">
        <v>86</v>
      </c>
      <c r="B40" s="40">
        <v>1188</v>
      </c>
      <c r="C40" s="39" t="s">
        <v>46</v>
      </c>
    </row>
    <row r="41" spans="1:3">
      <c r="A41" s="40" t="s">
        <v>87</v>
      </c>
      <c r="B41" s="40">
        <v>919</v>
      </c>
      <c r="C41" s="39" t="s">
        <v>48</v>
      </c>
    </row>
    <row r="42" spans="1:3">
      <c r="A42" s="40" t="s">
        <v>88</v>
      </c>
      <c r="B42" s="40">
        <v>680</v>
      </c>
      <c r="C42" s="39" t="s">
        <v>48</v>
      </c>
    </row>
    <row r="43" spans="1:3">
      <c r="A43" s="40" t="s">
        <v>89</v>
      </c>
      <c r="B43" s="40">
        <v>753</v>
      </c>
      <c r="C43" s="39" t="s">
        <v>48</v>
      </c>
    </row>
    <row r="44" spans="1:3">
      <c r="A44" s="40" t="s">
        <v>90</v>
      </c>
      <c r="B44" s="40">
        <v>568</v>
      </c>
      <c r="C44" s="39" t="s">
        <v>48</v>
      </c>
    </row>
    <row r="45" spans="1:3">
      <c r="A45" s="40" t="s">
        <v>91</v>
      </c>
      <c r="B45" s="40">
        <v>675</v>
      </c>
      <c r="C45" s="39" t="s">
        <v>48</v>
      </c>
    </row>
    <row r="46" spans="1:3">
      <c r="A46" s="40" t="s">
        <v>92</v>
      </c>
      <c r="B46" s="40">
        <v>1029</v>
      </c>
      <c r="C46" s="39" t="s">
        <v>46</v>
      </c>
    </row>
    <row r="47" spans="1:3">
      <c r="A47" s="40" t="s">
        <v>93</v>
      </c>
      <c r="B47" s="40">
        <v>917</v>
      </c>
      <c r="C47" s="39" t="s">
        <v>48</v>
      </c>
    </row>
    <row r="48" spans="1:3">
      <c r="A48" s="40" t="s">
        <v>94</v>
      </c>
      <c r="B48" s="40">
        <v>761</v>
      </c>
      <c r="C48" s="39" t="s">
        <v>48</v>
      </c>
    </row>
    <row r="49" spans="1:3">
      <c r="A49" s="40" t="s">
        <v>95</v>
      </c>
      <c r="B49" s="40">
        <v>690</v>
      </c>
      <c r="C49" s="39" t="s">
        <v>48</v>
      </c>
    </row>
    <row r="50" spans="1:3">
      <c r="A50" s="40" t="s">
        <v>96</v>
      </c>
      <c r="B50" s="40">
        <v>883</v>
      </c>
      <c r="C50" s="39" t="s">
        <v>48</v>
      </c>
    </row>
    <row r="51" spans="1:3">
      <c r="A51" s="40" t="s">
        <v>97</v>
      </c>
      <c r="B51" s="40">
        <v>872</v>
      </c>
      <c r="C51" s="39" t="s">
        <v>48</v>
      </c>
    </row>
    <row r="52" spans="1:3">
      <c r="A52" s="40" t="s">
        <v>98</v>
      </c>
      <c r="B52" s="40">
        <v>817</v>
      </c>
      <c r="C52" s="39" t="s">
        <v>48</v>
      </c>
    </row>
    <row r="53" spans="1:3">
      <c r="A53" s="40" t="s">
        <v>99</v>
      </c>
      <c r="B53" s="40">
        <v>621</v>
      </c>
      <c r="C53" s="39" t="s">
        <v>48</v>
      </c>
    </row>
    <row r="54" spans="1:3">
      <c r="A54" s="40" t="s">
        <v>100</v>
      </c>
      <c r="B54" s="40">
        <v>648</v>
      </c>
      <c r="C54" s="39" t="s">
        <v>48</v>
      </c>
    </row>
    <row r="55" spans="1:3">
      <c r="A55" s="40" t="s">
        <v>101</v>
      </c>
      <c r="B55" s="40">
        <v>673</v>
      </c>
      <c r="C55" s="39" t="s">
        <v>48</v>
      </c>
    </row>
    <row r="56" spans="1:3">
      <c r="A56" s="40" t="s">
        <v>102</v>
      </c>
      <c r="B56" s="40">
        <v>909</v>
      </c>
      <c r="C56" s="39" t="s">
        <v>48</v>
      </c>
    </row>
    <row r="57" spans="1:3">
      <c r="A57" s="40" t="s">
        <v>103</v>
      </c>
      <c r="B57" s="40">
        <v>647</v>
      </c>
      <c r="C57" s="39" t="s">
        <v>48</v>
      </c>
    </row>
    <row r="58" spans="1:3">
      <c r="A58" s="40" t="s">
        <v>104</v>
      </c>
      <c r="B58" s="40">
        <v>901</v>
      </c>
      <c r="C58" s="39" t="s">
        <v>48</v>
      </c>
    </row>
    <row r="59" spans="1:3">
      <c r="A59" s="40" t="s">
        <v>105</v>
      </c>
      <c r="B59" s="40">
        <v>657</v>
      </c>
      <c r="C59" s="39" t="s">
        <v>48</v>
      </c>
    </row>
    <row r="60" spans="1:3">
      <c r="A60" s="40" t="s">
        <v>106</v>
      </c>
      <c r="B60" s="40">
        <v>664</v>
      </c>
      <c r="C60" s="39" t="s">
        <v>48</v>
      </c>
    </row>
    <row r="61" spans="1:3">
      <c r="A61" s="40" t="s">
        <v>107</v>
      </c>
      <c r="B61" s="40">
        <v>645</v>
      </c>
      <c r="C61" s="39" t="s">
        <v>48</v>
      </c>
    </row>
    <row r="62" spans="1:3">
      <c r="A62" s="40" t="s">
        <v>108</v>
      </c>
      <c r="B62" s="40">
        <v>562</v>
      </c>
      <c r="C62" s="39" t="s">
        <v>48</v>
      </c>
    </row>
    <row r="63" spans="1:3">
      <c r="A63" s="40" t="s">
        <v>109</v>
      </c>
      <c r="B63" s="40">
        <v>881</v>
      </c>
      <c r="C63" s="39" t="s">
        <v>48</v>
      </c>
    </row>
    <row r="64" spans="1:3">
      <c r="A64" s="40" t="s">
        <v>110</v>
      </c>
      <c r="B64" s="40">
        <v>1135</v>
      </c>
      <c r="C64" s="39" t="s">
        <v>46</v>
      </c>
    </row>
    <row r="65" spans="1:3">
      <c r="A65" s="40" t="s">
        <v>111</v>
      </c>
      <c r="B65" s="40">
        <v>1134</v>
      </c>
      <c r="C65" s="39" t="s">
        <v>46</v>
      </c>
    </row>
    <row r="66" spans="1:3">
      <c r="A66" s="40" t="s">
        <v>112</v>
      </c>
      <c r="B66" s="40">
        <v>1045</v>
      </c>
      <c r="C66" s="39" t="s">
        <v>46</v>
      </c>
    </row>
    <row r="67" spans="1:3">
      <c r="A67" s="40" t="s">
        <v>113</v>
      </c>
      <c r="B67" s="40">
        <v>623</v>
      </c>
      <c r="C67" s="39" t="s">
        <v>48</v>
      </c>
    </row>
    <row r="68" spans="1:3">
      <c r="A68" s="40" t="s">
        <v>114</v>
      </c>
      <c r="B68" s="40">
        <v>670</v>
      </c>
      <c r="C68" s="39" t="s">
        <v>48</v>
      </c>
    </row>
    <row r="69" spans="1:3">
      <c r="A69" s="40" t="s">
        <v>115</v>
      </c>
      <c r="B69" s="40">
        <v>832</v>
      </c>
      <c r="C69" s="39" t="s">
        <v>48</v>
      </c>
    </row>
    <row r="70" spans="1:3">
      <c r="A70" s="40" t="s">
        <v>116</v>
      </c>
      <c r="B70" s="40">
        <v>981</v>
      </c>
      <c r="C70" s="39" t="s">
        <v>64</v>
      </c>
    </row>
    <row r="71" spans="1:3">
      <c r="A71" s="40" t="s">
        <v>117</v>
      </c>
      <c r="B71" s="40">
        <v>1257</v>
      </c>
      <c r="C71" s="39" t="s">
        <v>46</v>
      </c>
    </row>
    <row r="72" spans="1:3">
      <c r="A72" s="40" t="s">
        <v>118</v>
      </c>
      <c r="B72" s="40">
        <v>1068</v>
      </c>
      <c r="C72" s="39" t="s">
        <v>46</v>
      </c>
    </row>
    <row r="73" spans="1:3">
      <c r="A73" s="40" t="s">
        <v>119</v>
      </c>
      <c r="B73" s="40">
        <v>1145</v>
      </c>
      <c r="C73" s="39" t="s">
        <v>46</v>
      </c>
    </row>
    <row r="74" spans="1:3">
      <c r="A74" s="40" t="s">
        <v>120</v>
      </c>
      <c r="B74" s="40">
        <v>1001</v>
      </c>
      <c r="C74" s="39" t="s">
        <v>46</v>
      </c>
    </row>
    <row r="75" spans="1:3">
      <c r="A75" s="40" t="s">
        <v>121</v>
      </c>
      <c r="B75" s="40">
        <v>677</v>
      </c>
      <c r="C75" s="39" t="s">
        <v>48</v>
      </c>
    </row>
    <row r="76" spans="1:3">
      <c r="A76" s="40" t="s">
        <v>122</v>
      </c>
      <c r="B76" s="40">
        <v>665</v>
      </c>
      <c r="C76" s="39" t="s">
        <v>48</v>
      </c>
    </row>
    <row r="77" spans="1:3">
      <c r="A77" s="40" t="s">
        <v>123</v>
      </c>
      <c r="B77" s="40">
        <v>647</v>
      </c>
      <c r="C77" s="39" t="s">
        <v>48</v>
      </c>
    </row>
    <row r="78" spans="1:3">
      <c r="A78" s="40" t="s">
        <v>124</v>
      </c>
      <c r="B78" s="40">
        <v>1114</v>
      </c>
      <c r="C78" s="39" t="s">
        <v>46</v>
      </c>
    </row>
    <row r="79" spans="1:3">
      <c r="A79" s="40" t="s">
        <v>125</v>
      </c>
      <c r="B79" s="40">
        <v>1033</v>
      </c>
      <c r="C79" s="39" t="s">
        <v>46</v>
      </c>
    </row>
    <row r="80" spans="1:3">
      <c r="A80" s="40" t="s">
        <v>126</v>
      </c>
      <c r="B80" s="40">
        <v>1062</v>
      </c>
      <c r="C80" s="39" t="s">
        <v>46</v>
      </c>
    </row>
    <row r="81" spans="1:3">
      <c r="A81" s="40" t="s">
        <v>127</v>
      </c>
      <c r="B81" s="40">
        <v>655</v>
      </c>
      <c r="C81" s="39" t="s">
        <v>48</v>
      </c>
    </row>
    <row r="82" spans="1:3">
      <c r="A82" s="40" t="s">
        <v>128</v>
      </c>
      <c r="B82" s="40">
        <v>743</v>
      </c>
      <c r="C82" s="39" t="s">
        <v>48</v>
      </c>
    </row>
    <row r="83" spans="1:3">
      <c r="A83" s="40" t="s">
        <v>129</v>
      </c>
      <c r="B83" s="40">
        <v>908</v>
      </c>
      <c r="C83" s="39" t="s">
        <v>48</v>
      </c>
    </row>
    <row r="84" spans="1:3">
      <c r="A84" s="40" t="s">
        <v>130</v>
      </c>
      <c r="B84" s="40">
        <v>673</v>
      </c>
      <c r="C84" s="39" t="s">
        <v>48</v>
      </c>
    </row>
    <row r="85" spans="1:3">
      <c r="A85" s="40" t="s">
        <v>131</v>
      </c>
      <c r="B85" s="40">
        <v>578</v>
      </c>
      <c r="C85" s="39" t="s">
        <v>48</v>
      </c>
    </row>
    <row r="86" spans="1:3">
      <c r="A86" s="40" t="s">
        <v>132</v>
      </c>
      <c r="B86" s="40">
        <v>1150</v>
      </c>
      <c r="C86" s="39" t="s">
        <v>46</v>
      </c>
    </row>
    <row r="87" spans="1:3">
      <c r="A87" s="40" t="s">
        <v>133</v>
      </c>
      <c r="B87" s="40">
        <v>850</v>
      </c>
      <c r="C87" s="39" t="s">
        <v>48</v>
      </c>
    </row>
    <row r="88" spans="1:3">
      <c r="A88" s="40" t="s">
        <v>134</v>
      </c>
      <c r="B88" s="40">
        <v>1045</v>
      </c>
      <c r="C88" s="39" t="s">
        <v>46</v>
      </c>
    </row>
    <row r="89" spans="1:3">
      <c r="A89" s="40" t="s">
        <v>135</v>
      </c>
      <c r="B89" s="40">
        <v>1148</v>
      </c>
      <c r="C89" s="39" t="s">
        <v>46</v>
      </c>
    </row>
    <row r="90" spans="1:3">
      <c r="A90" s="40" t="s">
        <v>136</v>
      </c>
      <c r="B90" s="40">
        <v>682</v>
      </c>
      <c r="C90" s="39" t="s">
        <v>48</v>
      </c>
    </row>
    <row r="91" spans="1:3">
      <c r="A91" s="40" t="s">
        <v>137</v>
      </c>
      <c r="B91" s="40">
        <v>979</v>
      </c>
      <c r="C91" s="39" t="s">
        <v>64</v>
      </c>
    </row>
    <row r="92" spans="1:3">
      <c r="A92" s="40" t="s">
        <v>138</v>
      </c>
      <c r="B92" s="40">
        <v>559</v>
      </c>
      <c r="C92" s="39" t="s">
        <v>48</v>
      </c>
    </row>
    <row r="93" spans="1:3">
      <c r="A93" s="40" t="s">
        <v>139</v>
      </c>
      <c r="B93" s="40">
        <v>661</v>
      </c>
      <c r="C93" s="39" t="s">
        <v>48</v>
      </c>
    </row>
    <row r="94" spans="1:3">
      <c r="A94" s="40" t="s">
        <v>140</v>
      </c>
      <c r="B94" s="40">
        <v>1203</v>
      </c>
      <c r="C94" s="39" t="s">
        <v>46</v>
      </c>
    </row>
    <row r="95" spans="1:3">
      <c r="A95" s="40" t="s">
        <v>141</v>
      </c>
      <c r="B95" s="40">
        <v>910</v>
      </c>
      <c r="C95" s="39" t="s">
        <v>48</v>
      </c>
    </row>
    <row r="96" spans="1:3">
      <c r="A96" s="40" t="s">
        <v>142</v>
      </c>
      <c r="B96" s="40">
        <v>753</v>
      </c>
      <c r="C96" s="39" t="s">
        <v>48</v>
      </c>
    </row>
    <row r="97" spans="1:3">
      <c r="A97" s="40" t="s">
        <v>143</v>
      </c>
      <c r="B97" s="40">
        <v>671</v>
      </c>
      <c r="C97" s="39" t="s">
        <v>48</v>
      </c>
    </row>
    <row r="98" spans="1:3">
      <c r="A98" s="40" t="s">
        <v>144</v>
      </c>
      <c r="B98" s="40">
        <v>1220</v>
      </c>
      <c r="C98" s="39" t="s">
        <v>46</v>
      </c>
    </row>
    <row r="99" spans="1:3">
      <c r="A99" s="40" t="s">
        <v>145</v>
      </c>
      <c r="B99" s="40">
        <v>709</v>
      </c>
      <c r="C99" s="39" t="s">
        <v>48</v>
      </c>
    </row>
    <row r="100" spans="1:3">
      <c r="A100" s="40" t="s">
        <v>146</v>
      </c>
      <c r="B100" s="40">
        <v>831</v>
      </c>
      <c r="C100" s="39" t="s">
        <v>48</v>
      </c>
    </row>
    <row r="101" spans="1:3">
      <c r="A101" s="40" t="s">
        <v>147</v>
      </c>
      <c r="B101" s="40">
        <v>794</v>
      </c>
      <c r="C101" s="39" t="s">
        <v>48</v>
      </c>
    </row>
    <row r="102" spans="1:3">
      <c r="A102" s="40" t="s">
        <v>148</v>
      </c>
      <c r="B102" s="40">
        <v>649</v>
      </c>
      <c r="C102" s="39" t="s">
        <v>48</v>
      </c>
    </row>
    <row r="103" spans="1:3">
      <c r="A103" s="40" t="s">
        <v>149</v>
      </c>
      <c r="B103" s="40">
        <v>690</v>
      </c>
      <c r="C103" s="39" t="s">
        <v>48</v>
      </c>
    </row>
    <row r="104" spans="1:3">
      <c r="A104" s="40" t="s">
        <v>150</v>
      </c>
      <c r="B104" s="40">
        <v>648</v>
      </c>
      <c r="C104" s="39" t="s">
        <v>48</v>
      </c>
    </row>
    <row r="105" spans="1:3">
      <c r="A105" s="40" t="s">
        <v>151</v>
      </c>
      <c r="B105" s="40">
        <v>832</v>
      </c>
      <c r="C105" s="39" t="s">
        <v>48</v>
      </c>
    </row>
    <row r="106" spans="1:3">
      <c r="A106" s="40" t="s">
        <v>152</v>
      </c>
      <c r="B106" s="40">
        <v>859</v>
      </c>
      <c r="C106" s="39" t="s">
        <v>48</v>
      </c>
    </row>
    <row r="107" spans="1:3">
      <c r="A107" s="40" t="s">
        <v>153</v>
      </c>
      <c r="B107" s="40">
        <v>570</v>
      </c>
      <c r="C107" s="39" t="s">
        <v>48</v>
      </c>
    </row>
    <row r="108" spans="1:3">
      <c r="A108" s="40" t="s">
        <v>154</v>
      </c>
      <c r="B108" s="40">
        <v>595</v>
      </c>
      <c r="C108" s="39" t="s">
        <v>48</v>
      </c>
    </row>
    <row r="109" spans="1:3">
      <c r="A109" s="40" t="s">
        <v>155</v>
      </c>
      <c r="B109" s="40">
        <v>854</v>
      </c>
      <c r="C109" s="39" t="s">
        <v>48</v>
      </c>
    </row>
    <row r="110" spans="1:3">
      <c r="A110" s="40" t="s">
        <v>156</v>
      </c>
      <c r="B110" s="40">
        <v>1095</v>
      </c>
      <c r="C110" s="39" t="s">
        <v>46</v>
      </c>
    </row>
    <row r="111" spans="1:3">
      <c r="A111" s="40" t="s">
        <v>157</v>
      </c>
      <c r="B111" s="40">
        <v>604</v>
      </c>
      <c r="C111" s="39" t="s">
        <v>48</v>
      </c>
    </row>
    <row r="112" spans="1:3">
      <c r="A112" s="40" t="s">
        <v>158</v>
      </c>
      <c r="B112" s="40">
        <v>1061</v>
      </c>
      <c r="C112" s="39" t="s">
        <v>46</v>
      </c>
    </row>
    <row r="113" spans="1:3">
      <c r="A113" s="40" t="s">
        <v>159</v>
      </c>
      <c r="B113" s="40">
        <v>690</v>
      </c>
      <c r="C113" s="39" t="s">
        <v>48</v>
      </c>
    </row>
    <row r="114" spans="1:3">
      <c r="A114" s="40" t="s">
        <v>160</v>
      </c>
      <c r="B114" s="40">
        <v>809</v>
      </c>
      <c r="C114" s="39" t="s">
        <v>48</v>
      </c>
    </row>
    <row r="115" spans="1:3">
      <c r="A115" s="40" t="s">
        <v>161</v>
      </c>
      <c r="B115" s="40">
        <v>1104</v>
      </c>
      <c r="C115" s="39" t="s">
        <v>46</v>
      </c>
    </row>
    <row r="116" spans="1:3">
      <c r="A116" s="40" t="s">
        <v>162</v>
      </c>
      <c r="B116" s="40">
        <v>1161</v>
      </c>
      <c r="C116" s="39" t="s">
        <v>46</v>
      </c>
    </row>
    <row r="117" spans="1:3">
      <c r="A117" s="40" t="s">
        <v>163</v>
      </c>
      <c r="B117" s="40">
        <v>1012</v>
      </c>
      <c r="C117" s="39" t="s">
        <v>46</v>
      </c>
    </row>
    <row r="118" spans="1:3">
      <c r="A118" s="40" t="s">
        <v>164</v>
      </c>
      <c r="B118" s="40">
        <v>573</v>
      </c>
      <c r="C118" s="39" t="s">
        <v>48</v>
      </c>
    </row>
    <row r="119" spans="1:3">
      <c r="A119" s="40" t="s">
        <v>165</v>
      </c>
      <c r="B119" s="40">
        <v>1163</v>
      </c>
      <c r="C119" s="39" t="s">
        <v>46</v>
      </c>
    </row>
    <row r="120" spans="1:3">
      <c r="A120" s="40" t="s">
        <v>166</v>
      </c>
      <c r="B120" s="40">
        <v>818</v>
      </c>
      <c r="C120" s="39" t="s">
        <v>48</v>
      </c>
    </row>
    <row r="121" spans="1:3">
      <c r="A121" s="40" t="s">
        <v>167</v>
      </c>
      <c r="B121" s="40">
        <v>770</v>
      </c>
      <c r="C121" s="39" t="s">
        <v>48</v>
      </c>
    </row>
    <row r="122" spans="1:3">
      <c r="A122" s="40" t="s">
        <v>168</v>
      </c>
      <c r="B122" s="40">
        <v>590</v>
      </c>
      <c r="C122" s="39" t="s">
        <v>48</v>
      </c>
    </row>
    <row r="123" spans="1:3">
      <c r="A123" s="40" t="s">
        <v>169</v>
      </c>
      <c r="B123" s="40">
        <v>1042</v>
      </c>
      <c r="C123" s="39" t="s">
        <v>46</v>
      </c>
    </row>
    <row r="124" spans="1:3">
      <c r="A124" s="40" t="s">
        <v>170</v>
      </c>
      <c r="B124" s="40">
        <v>903</v>
      </c>
      <c r="C124" s="39" t="s">
        <v>48</v>
      </c>
    </row>
    <row r="125" spans="1:3">
      <c r="A125" s="40" t="s">
        <v>171</v>
      </c>
      <c r="B125" s="40">
        <v>1299</v>
      </c>
      <c r="C125" s="39" t="s">
        <v>46</v>
      </c>
    </row>
    <row r="126" spans="1:3">
      <c r="A126" s="40" t="s">
        <v>172</v>
      </c>
      <c r="B126" s="40">
        <v>718</v>
      </c>
      <c r="C126" s="39" t="s">
        <v>48</v>
      </c>
    </row>
    <row r="127" spans="1:3">
      <c r="A127" s="40" t="s">
        <v>173</v>
      </c>
      <c r="B127" s="40">
        <v>878</v>
      </c>
      <c r="C127" s="39" t="s">
        <v>48</v>
      </c>
    </row>
    <row r="128" spans="1:3">
      <c r="A128" s="40" t="s">
        <v>174</v>
      </c>
      <c r="B128" s="40">
        <v>684</v>
      </c>
      <c r="C128" s="39" t="s">
        <v>48</v>
      </c>
    </row>
    <row r="129" spans="1:3">
      <c r="A129" s="40" t="s">
        <v>175</v>
      </c>
      <c r="B129" s="40">
        <v>585</v>
      </c>
      <c r="C129" s="39" t="s">
        <v>48</v>
      </c>
    </row>
    <row r="130" spans="1:3">
      <c r="A130" s="40" t="s">
        <v>176</v>
      </c>
      <c r="B130" s="40">
        <v>1032</v>
      </c>
      <c r="C130" s="39" t="s">
        <v>46</v>
      </c>
    </row>
    <row r="131" spans="1:3">
      <c r="A131" s="40" t="s">
        <v>177</v>
      </c>
      <c r="B131" s="40">
        <v>515</v>
      </c>
      <c r="C131" s="39" t="s">
        <v>48</v>
      </c>
    </row>
    <row r="132" spans="1:3">
      <c r="A132" s="40" t="s">
        <v>178</v>
      </c>
      <c r="B132" s="40">
        <v>681</v>
      </c>
      <c r="C132" s="39" t="s">
        <v>48</v>
      </c>
    </row>
    <row r="133" spans="1:3">
      <c r="A133" s="40" t="s">
        <v>179</v>
      </c>
      <c r="B133" s="40">
        <v>705</v>
      </c>
      <c r="C133" s="39" t="s">
        <v>48</v>
      </c>
    </row>
    <row r="134" spans="1:3">
      <c r="A134" s="40" t="s">
        <v>180</v>
      </c>
      <c r="B134" s="40">
        <v>1420</v>
      </c>
      <c r="C134" s="39" t="s">
        <v>46</v>
      </c>
    </row>
    <row r="135" spans="1:3">
      <c r="A135" s="40" t="s">
        <v>181</v>
      </c>
      <c r="B135" s="40">
        <v>878</v>
      </c>
      <c r="C135" s="39" t="s">
        <v>48</v>
      </c>
    </row>
    <row r="136" spans="1:3">
      <c r="A136" s="40" t="s">
        <v>182</v>
      </c>
      <c r="B136" s="40">
        <v>906</v>
      </c>
      <c r="C136" s="39" t="s">
        <v>48</v>
      </c>
    </row>
    <row r="137" spans="1:3">
      <c r="A137" s="40" t="s">
        <v>183</v>
      </c>
      <c r="B137" s="40">
        <v>1074</v>
      </c>
      <c r="C137" s="39" t="s">
        <v>46</v>
      </c>
    </row>
    <row r="138" spans="1:3">
      <c r="A138" s="40" t="s">
        <v>184</v>
      </c>
      <c r="B138" s="40">
        <v>653</v>
      </c>
      <c r="C138" s="39" t="s">
        <v>48</v>
      </c>
    </row>
    <row r="139" spans="1:3">
      <c r="A139" s="40" t="s">
        <v>185</v>
      </c>
      <c r="B139" s="40">
        <v>675</v>
      </c>
      <c r="C139" s="39" t="s">
        <v>48</v>
      </c>
    </row>
    <row r="140" spans="1:3">
      <c r="A140" s="40" t="s">
        <v>186</v>
      </c>
      <c r="B140" s="40">
        <v>1434</v>
      </c>
      <c r="C140" s="39" t="s">
        <v>46</v>
      </c>
    </row>
    <row r="141" spans="1:3">
      <c r="A141" s="40" t="s">
        <v>187</v>
      </c>
      <c r="B141" s="40">
        <v>921</v>
      </c>
      <c r="C141" s="39" t="s">
        <v>48</v>
      </c>
    </row>
    <row r="142" spans="1:3">
      <c r="A142" s="40" t="s">
        <v>188</v>
      </c>
      <c r="B142" s="40">
        <v>654</v>
      </c>
      <c r="C142" s="39" t="s">
        <v>48</v>
      </c>
    </row>
    <row r="143" spans="1:3">
      <c r="A143" s="40" t="s">
        <v>189</v>
      </c>
      <c r="B143" s="40">
        <v>594</v>
      </c>
      <c r="C143" s="39" t="s">
        <v>48</v>
      </c>
    </row>
    <row r="144" spans="1:3">
      <c r="A144" s="40" t="s">
        <v>190</v>
      </c>
      <c r="B144" s="40">
        <v>509</v>
      </c>
      <c r="C144" s="39" t="s">
        <v>48</v>
      </c>
    </row>
    <row r="145" spans="1:3">
      <c r="A145" s="40" t="s">
        <v>191</v>
      </c>
      <c r="B145" s="40">
        <v>585</v>
      </c>
      <c r="C145" s="39" t="s">
        <v>48</v>
      </c>
    </row>
    <row r="146" spans="1:3">
      <c r="A146" s="40" t="s">
        <v>192</v>
      </c>
      <c r="B146" s="40">
        <v>628</v>
      </c>
      <c r="C146" s="39" t="s">
        <v>48</v>
      </c>
    </row>
    <row r="147" spans="1:3">
      <c r="A147" s="40" t="s">
        <v>193</v>
      </c>
      <c r="B147" s="40">
        <v>605</v>
      </c>
      <c r="C147" s="39" t="s">
        <v>48</v>
      </c>
    </row>
    <row r="148" spans="1:3">
      <c r="A148" s="40" t="s">
        <v>194</v>
      </c>
      <c r="B148" s="40">
        <v>744</v>
      </c>
      <c r="C148" s="39" t="s">
        <v>48</v>
      </c>
    </row>
    <row r="149" spans="1:3">
      <c r="A149" s="40" t="s">
        <v>195</v>
      </c>
      <c r="B149" s="40">
        <v>845</v>
      </c>
      <c r="C149" s="39" t="s">
        <v>48</v>
      </c>
    </row>
    <row r="150" spans="1:3">
      <c r="A150" s="40" t="s">
        <v>196</v>
      </c>
      <c r="B150" s="40">
        <v>710</v>
      </c>
      <c r="C150" s="39" t="s">
        <v>48</v>
      </c>
    </row>
    <row r="151" spans="1:3">
      <c r="A151" s="40" t="s">
        <v>197</v>
      </c>
      <c r="B151" s="40">
        <v>654</v>
      </c>
      <c r="C151" s="39" t="s">
        <v>48</v>
      </c>
    </row>
    <row r="152" spans="1:3">
      <c r="A152" s="40" t="s">
        <v>198</v>
      </c>
      <c r="B152" s="40">
        <v>760</v>
      </c>
      <c r="C152" s="39" t="s">
        <v>48</v>
      </c>
    </row>
    <row r="153" spans="1:3">
      <c r="A153" s="40" t="s">
        <v>199</v>
      </c>
      <c r="B153" s="40">
        <v>744</v>
      </c>
      <c r="C153" s="39" t="s">
        <v>48</v>
      </c>
    </row>
    <row r="154" spans="1:3">
      <c r="A154" s="40" t="s">
        <v>200</v>
      </c>
      <c r="B154" s="40">
        <v>716</v>
      </c>
      <c r="C154" s="39" t="s">
        <v>48</v>
      </c>
    </row>
    <row r="155" spans="1:3">
      <c r="A155" s="40" t="s">
        <v>201</v>
      </c>
      <c r="B155" s="40">
        <v>702</v>
      </c>
      <c r="C155" s="39" t="s">
        <v>48</v>
      </c>
    </row>
    <row r="156" spans="1:3">
      <c r="A156" s="40" t="s">
        <v>202</v>
      </c>
      <c r="B156" s="40">
        <v>1140</v>
      </c>
      <c r="C156" s="39" t="s">
        <v>46</v>
      </c>
    </row>
    <row r="157" spans="1:3">
      <c r="A157" s="40" t="s">
        <v>203</v>
      </c>
      <c r="B157" s="40">
        <v>872</v>
      </c>
      <c r="C157" s="39" t="s">
        <v>48</v>
      </c>
    </row>
    <row r="158" spans="1:3">
      <c r="A158" s="40" t="s">
        <v>204</v>
      </c>
      <c r="B158" s="40">
        <v>815</v>
      </c>
      <c r="C158" s="39" t="s">
        <v>48</v>
      </c>
    </row>
    <row r="159" spans="1:3">
      <c r="A159" s="40" t="s">
        <v>205</v>
      </c>
      <c r="B159" s="40">
        <v>615</v>
      </c>
      <c r="C159" s="39" t="s">
        <v>48</v>
      </c>
    </row>
    <row r="160" spans="1:3">
      <c r="A160" s="40" t="s">
        <v>206</v>
      </c>
      <c r="B160" s="40">
        <v>724</v>
      </c>
      <c r="C160" s="39" t="s">
        <v>48</v>
      </c>
    </row>
    <row r="161" spans="1:3">
      <c r="A161" s="40" t="s">
        <v>207</v>
      </c>
      <c r="B161" s="40">
        <v>744</v>
      </c>
      <c r="C161" s="39" t="s">
        <v>48</v>
      </c>
    </row>
    <row r="162" spans="1:3">
      <c r="A162" s="40" t="s">
        <v>208</v>
      </c>
      <c r="B162" s="40">
        <v>660</v>
      </c>
      <c r="C162" s="39" t="s">
        <v>48</v>
      </c>
    </row>
    <row r="163" spans="1:3">
      <c r="A163" s="40" t="s">
        <v>209</v>
      </c>
      <c r="B163" s="40">
        <v>718</v>
      </c>
      <c r="C163" s="39" t="s">
        <v>48</v>
      </c>
    </row>
    <row r="164" spans="1:3">
      <c r="A164" s="40" t="s">
        <v>210</v>
      </c>
      <c r="B164" s="40">
        <v>737</v>
      </c>
      <c r="C164" s="39" t="s">
        <v>48</v>
      </c>
    </row>
    <row r="165" spans="1:3">
      <c r="A165" s="40" t="s">
        <v>211</v>
      </c>
      <c r="B165" s="40">
        <v>553</v>
      </c>
      <c r="C165" s="39" t="s">
        <v>48</v>
      </c>
    </row>
    <row r="166" spans="1:3">
      <c r="A166" s="40" t="s">
        <v>212</v>
      </c>
      <c r="B166" s="40">
        <v>888</v>
      </c>
      <c r="C166" s="39" t="s">
        <v>48</v>
      </c>
    </row>
    <row r="167" spans="1:3">
      <c r="A167" s="40" t="s">
        <v>213</v>
      </c>
      <c r="B167" s="40">
        <v>864</v>
      </c>
      <c r="C167" s="39" t="s">
        <v>48</v>
      </c>
    </row>
    <row r="168" spans="1:3">
      <c r="A168" s="40" t="s">
        <v>214</v>
      </c>
      <c r="B168" s="40">
        <v>510</v>
      </c>
      <c r="C168" s="39" t="s">
        <v>48</v>
      </c>
    </row>
    <row r="169" spans="1:3">
      <c r="A169" s="40" t="s">
        <v>215</v>
      </c>
      <c r="B169" s="40">
        <v>650</v>
      </c>
      <c r="C169" s="39" t="s">
        <v>48</v>
      </c>
    </row>
    <row r="170" spans="1:3">
      <c r="A170" s="40" t="s">
        <v>216</v>
      </c>
      <c r="B170" s="40">
        <v>747</v>
      </c>
      <c r="C170" s="39" t="s">
        <v>48</v>
      </c>
    </row>
    <row r="171" spans="1:3">
      <c r="A171" s="40" t="s">
        <v>217</v>
      </c>
      <c r="B171" s="40">
        <v>546</v>
      </c>
      <c r="C171" s="39" t="s">
        <v>48</v>
      </c>
    </row>
    <row r="172" spans="1:3">
      <c r="A172" s="40" t="s">
        <v>218</v>
      </c>
      <c r="B172" s="40">
        <v>561</v>
      </c>
      <c r="C172" s="39" t="s">
        <v>48</v>
      </c>
    </row>
    <row r="173" spans="1:3">
      <c r="A173" s="40" t="s">
        <v>219</v>
      </c>
      <c r="B173" s="40">
        <v>551</v>
      </c>
      <c r="C173" s="39" t="s">
        <v>48</v>
      </c>
    </row>
    <row r="174" spans="1:3">
      <c r="A174" s="40" t="s">
        <v>220</v>
      </c>
      <c r="B174" s="40">
        <v>652</v>
      </c>
      <c r="C174" s="39" t="s">
        <v>48</v>
      </c>
    </row>
    <row r="175" spans="1:3">
      <c r="A175" s="40" t="s">
        <v>221</v>
      </c>
      <c r="B175" s="40">
        <v>595</v>
      </c>
      <c r="C175" s="39" t="s">
        <v>48</v>
      </c>
    </row>
    <row r="176" spans="1:3">
      <c r="A176" s="40" t="s">
        <v>222</v>
      </c>
      <c r="B176" s="40">
        <v>652</v>
      </c>
      <c r="C176" s="39" t="s">
        <v>48</v>
      </c>
    </row>
    <row r="177" spans="1:3">
      <c r="A177" s="40" t="s">
        <v>223</v>
      </c>
      <c r="B177" s="40">
        <v>675</v>
      </c>
      <c r="C177" s="39" t="s">
        <v>48</v>
      </c>
    </row>
    <row r="178" spans="1:3">
      <c r="A178" s="40" t="s">
        <v>224</v>
      </c>
      <c r="B178" s="40">
        <v>756</v>
      </c>
      <c r="C178" s="39" t="s">
        <v>48</v>
      </c>
    </row>
    <row r="179" spans="1:3">
      <c r="A179" s="40" t="s">
        <v>225</v>
      </c>
      <c r="B179" s="40">
        <v>650</v>
      </c>
      <c r="C179" s="39" t="s">
        <v>48</v>
      </c>
    </row>
    <row r="180" spans="1:3">
      <c r="A180" s="40" t="s">
        <v>226</v>
      </c>
      <c r="B180" s="40">
        <v>1066</v>
      </c>
      <c r="C180" s="39" t="s">
        <v>46</v>
      </c>
    </row>
    <row r="181" spans="1:3">
      <c r="A181" s="40" t="s">
        <v>227</v>
      </c>
      <c r="B181" s="40">
        <v>1104</v>
      </c>
      <c r="C181" s="39" t="s">
        <v>46</v>
      </c>
    </row>
  </sheetData>
  <sheetProtection password="EAC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Cálculo subvención P3</vt:lpstr>
      <vt:lpstr>Vulnerabilidad</vt:lpstr>
      <vt:lpstr>Cálculo subvención P5</vt:lpstr>
      <vt:lpstr>Zona_climatica</vt:lpstr>
    </vt:vector>
  </TitlesOfParts>
  <Manager/>
  <Company>Comunidad de Madrid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Ana I</cp:lastModifiedBy>
  <cp:revision/>
  <dcterms:created xsi:type="dcterms:W3CDTF">2022-03-21T08:54:57Z</dcterms:created>
  <dcterms:modified xsi:type="dcterms:W3CDTF">2022-08-19T11:51:25Z</dcterms:modified>
  <cp:category/>
  <cp:contentStatus/>
</cp:coreProperties>
</file>